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60" activeTab="1"/>
  </bookViews>
  <sheets>
    <sheet name="Лист2" sheetId="1" r:id="rId1"/>
    <sheet name="Прайс от 28.11.2023" sheetId="2" r:id="rId2"/>
    <sheet name="Лист1" sheetId="3" r:id="rId3"/>
  </sheets>
  <definedNames>
    <definedName name="_xlnm.Print_Titles" localSheetId="1">'Прайс от 28.11.2023'!$15:$16</definedName>
    <definedName name="_xlnm.Print_Area" localSheetId="1">'Прайс от 28.11.2023'!$B$1:$M$279</definedName>
  </definedNames>
  <calcPr fullCalcOnLoad="1"/>
</workbook>
</file>

<file path=xl/comments2.xml><?xml version="1.0" encoding="utf-8"?>
<comments xmlns="http://schemas.openxmlformats.org/spreadsheetml/2006/main">
  <authors>
    <author>Администратор</author>
  </authors>
  <commentList>
    <comment ref="R75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кроме кроме варианта из б.ц.</t>
        </r>
      </text>
    </comment>
    <comment ref="R93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из б.ц.</t>
        </r>
      </text>
    </comment>
    <comment ref="R95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кроме кроме варианта из б.ц.</t>
        </r>
      </text>
    </comment>
    <comment ref="R108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кроме кроме варианта из б.ц.</t>
        </r>
      </text>
    </comment>
    <comment ref="R110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кроме кроме варианта из б.ц.</t>
        </r>
      </text>
    </comment>
    <comment ref="R126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из б.ц.</t>
        </r>
      </text>
    </comment>
    <comment ref="R128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кроме кроме варианта из б.ц.</t>
        </r>
      </text>
    </comment>
    <comment ref="R141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из б.ц.</t>
        </r>
      </text>
    </comment>
    <comment ref="R143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кроме кроме варианта из б.ц.</t>
        </r>
      </text>
    </comment>
    <comment ref="R163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из б.ц.</t>
        </r>
      </text>
    </comment>
    <comment ref="R165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кроме кроме варианта из б.ц.</t>
        </r>
      </text>
    </comment>
    <comment ref="R184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из б.ц.</t>
        </r>
      </text>
    </comment>
    <comment ref="R186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кроме кроме варианта из б.ц.</t>
        </r>
      </text>
    </comment>
    <comment ref="R201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из б.ц.</t>
        </r>
      </text>
    </comment>
    <comment ref="R203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кроме кроме варианта из б.ц.</t>
        </r>
      </text>
    </comment>
    <comment ref="R214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из б.ц.</t>
        </r>
      </text>
    </comment>
    <comment ref="R91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из б.ц.</t>
        </r>
      </text>
    </comment>
    <comment ref="R106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кроме кроме варианта из б.ц.</t>
        </r>
      </text>
    </comment>
    <comment ref="R124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из б.ц.</t>
        </r>
      </text>
    </comment>
    <comment ref="R139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из б.ц.</t>
        </r>
      </text>
    </comment>
    <comment ref="R161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из б.ц.</t>
        </r>
      </text>
    </comment>
    <comment ref="R182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из б.ц.</t>
        </r>
      </text>
    </comment>
    <comment ref="R199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из б.ц.</t>
        </r>
      </text>
    </comment>
    <comment ref="R212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из б.ц.</t>
        </r>
      </text>
    </comment>
  </commentList>
</comments>
</file>

<file path=xl/sharedStrings.xml><?xml version="1.0" encoding="utf-8"?>
<sst xmlns="http://schemas.openxmlformats.org/spreadsheetml/2006/main" count="363" uniqueCount="143">
  <si>
    <t>Утверждаю:</t>
  </si>
  <si>
    <t xml:space="preserve">Директор </t>
  </si>
  <si>
    <t xml:space="preserve">450028, Россия, г.Уфа, ул. Производственная, 8/1    </t>
  </si>
  <si>
    <t>ПРАЙС - ЛИСТ</t>
  </si>
  <si>
    <t xml:space="preserve">№ </t>
  </si>
  <si>
    <t>Наименование изделия</t>
  </si>
  <si>
    <t>Марки-ровка</t>
  </si>
  <si>
    <t>Образец</t>
  </si>
  <si>
    <t>Вес, кг/шт</t>
  </si>
  <si>
    <t>Размеры, см</t>
  </si>
  <si>
    <t>Гладкие блоки  (марка М-150)</t>
  </si>
  <si>
    <t>Стеновой блок перевязочный</t>
  </si>
  <si>
    <t>СБП 39</t>
  </si>
  <si>
    <t>19-19-39</t>
  </si>
  <si>
    <t>серый</t>
  </si>
  <si>
    <t>цветной</t>
  </si>
  <si>
    <t>зелёный</t>
  </si>
  <si>
    <t>Стеновой полублок</t>
  </si>
  <si>
    <t>СБП 19</t>
  </si>
  <si>
    <t>19-19-19</t>
  </si>
  <si>
    <t>Перегородочный блок</t>
  </si>
  <si>
    <t>ПБ 39</t>
  </si>
  <si>
    <t>19-9-39</t>
  </si>
  <si>
    <t>Перегородочный блок                          Г-образный</t>
  </si>
  <si>
    <t>ПБГ 39</t>
  </si>
  <si>
    <t>19-19-9-39</t>
  </si>
  <si>
    <t>Перегородочный полублок                        Г-образный</t>
  </si>
  <si>
    <t>ПБГ 19</t>
  </si>
  <si>
    <t>19-19-9-19</t>
  </si>
  <si>
    <t>Перегородочный полублок                Г-образный "135"</t>
  </si>
  <si>
    <t>ПБГ "135"</t>
  </si>
  <si>
    <t>Перегородочный блок радиусный</t>
  </si>
  <si>
    <t>ПБР 39</t>
  </si>
  <si>
    <t>Сплитерные (колотые) блоки  (марка М-150)</t>
  </si>
  <si>
    <t>Сплитерный стеновой блок рядовой</t>
  </si>
  <si>
    <t>ССБР 39</t>
  </si>
  <si>
    <t>сер с мр кр</t>
  </si>
  <si>
    <t>цветн с мр кр</t>
  </si>
  <si>
    <t>зелен с мр кр</t>
  </si>
  <si>
    <t>Сплитерный стеновой блок угловой</t>
  </si>
  <si>
    <t>ССБУ 39</t>
  </si>
  <si>
    <t>Сплитерный стеновой полублок рядовой</t>
  </si>
  <si>
    <t>ССБР 19</t>
  </si>
  <si>
    <t>ССБУ 19</t>
  </si>
  <si>
    <t>Сплитерный перегородочный блок</t>
  </si>
  <si>
    <t>ССПБ 39</t>
  </si>
  <si>
    <t>Сплитерный перегородочный                               Г-образный блок</t>
  </si>
  <si>
    <t>ССПГ 39</t>
  </si>
  <si>
    <t>ССПГ 19</t>
  </si>
  <si>
    <t>Сплитерный перегородочный блок                            Г-образный "135"</t>
  </si>
  <si>
    <t>ССПГ "135"</t>
  </si>
  <si>
    <t>Сплитерная плитка</t>
  </si>
  <si>
    <t>ПО 39</t>
  </si>
  <si>
    <t>19-5-39</t>
  </si>
  <si>
    <t>Изделия для многоэтажных зданий</t>
  </si>
  <si>
    <t>Стеновой блок перевязочный "супер" М-200</t>
  </si>
  <si>
    <t>Полнотелый блок перегородочный   М-300</t>
  </si>
  <si>
    <t>ПБП 39</t>
  </si>
  <si>
    <t>Изделия для мощения дорог и тротуаров  (марка М-300)</t>
  </si>
  <si>
    <t>Бордюрный блок</t>
  </si>
  <si>
    <t>ББ 39</t>
  </si>
  <si>
    <t xml:space="preserve">Гарантированно высокое качество продукции обеспечивается за счёт: </t>
  </si>
  <si>
    <r>
      <t xml:space="preserve">Срок возврата поддонов - </t>
    </r>
    <r>
      <rPr>
        <b/>
        <sz val="14"/>
        <rFont val="Bodoni MT Condensed"/>
        <family val="1"/>
      </rPr>
      <t>30</t>
    </r>
    <r>
      <rPr>
        <sz val="12"/>
        <rFont val="Bodoni MT Condensed"/>
        <family val="1"/>
      </rPr>
      <t xml:space="preserve"> дней</t>
    </r>
  </si>
  <si>
    <t xml:space="preserve"> - применения исключительно качественного сырья (обеспечивается за счёт покупки исключительно качественного сырья, проверенного на производстве пробных партий "Бессер"-блоков), проходящего предварительную подготовку (обеспечивается за счёт наличия цеха подготовки сырья);</t>
  </si>
  <si>
    <t>Всем Клиентам отгружается исключительно качественная продукция (обеспечивается за счёт тщательного контроля качества продукции на всех стадиях производства и тщательного контроля качества продукции, принимаемой на склад готовой продукции); практическим подтверждением этому служит тот факт, что, как правило, все наши корпоративные Клиенты не привлекают к процессу получения нашей продукции своих специалистов (снабженец, товаровед и т.д.), отвечающих за качество приобретаемых ТМЦ.</t>
  </si>
  <si>
    <t xml:space="preserve">Справочно: вся указанная в Прайс-Листе продукция производится на американском оборудовании "БЕССЕР". </t>
  </si>
  <si>
    <t xml:space="preserve"> - гарантированного соблюдения технологии производства "Бессер"-блоков (персонал, работающий на ключевых технологических звеньях, прошёл предварительное обучение непосредственно в фирме "BESSER" (США) и имеет многолетний опыт успешного практического применения полученных знаний;</t>
  </si>
  <si>
    <t xml:space="preserve"> - высокой мотивации всего производственного персонала в выпуске продукции исключительно высокого качества (обеспечена за счёт применения в отношении производственного персонала Системы сдельной оплаты труда, учитывающей производство исключительно качественных блоков /за выпуск "некондиции" зарплата не начисляется/). </t>
  </si>
  <si>
    <t>Сплитерная облицовочная плитка  (марка М 150) (из наличия)</t>
  </si>
  <si>
    <t>серая</t>
  </si>
  <si>
    <t>цветная</t>
  </si>
  <si>
    <t>зелёная</t>
  </si>
  <si>
    <t>Вариант исполнения</t>
  </si>
  <si>
    <t>СБП "S" 39</t>
  </si>
  <si>
    <r>
      <t xml:space="preserve">Залоговая стоимость поддона (возвратная тара) - </t>
    </r>
    <r>
      <rPr>
        <b/>
        <sz val="12"/>
        <rFont val="Bodoni MT Condensed"/>
        <family val="1"/>
      </rPr>
      <t>1 000 руб.</t>
    </r>
  </si>
  <si>
    <t>ООО "Интерстройсервис"</t>
  </si>
  <si>
    <t>Цена без НДС</t>
  </si>
  <si>
    <t>Цена с НДС</t>
  </si>
  <si>
    <t>Отпускная цена</t>
  </si>
  <si>
    <t>Блок из керамзитобетона</t>
  </si>
  <si>
    <t>Сплитерный перегородочный Г-образный полублок  (изналичия)</t>
  </si>
  <si>
    <t>Сплитерный стеновой полублок угловой (изналичия)</t>
  </si>
  <si>
    <t xml:space="preserve">           </t>
  </si>
  <si>
    <t xml:space="preserve">                            </t>
  </si>
  <si>
    <t xml:space="preserve">салатный </t>
  </si>
  <si>
    <t>сталь</t>
  </si>
  <si>
    <t>охра светлая</t>
  </si>
  <si>
    <t>желтый на бц</t>
  </si>
  <si>
    <t>салатн с мр кр</t>
  </si>
  <si>
    <t>охра свет мр кр</t>
  </si>
  <si>
    <t>бц мк коралл</t>
  </si>
  <si>
    <t>бц  мк желтый</t>
  </si>
  <si>
    <t xml:space="preserve">салатная </t>
  </si>
  <si>
    <t>салатный</t>
  </si>
  <si>
    <t xml:space="preserve">охра свет </t>
  </si>
  <si>
    <t>бц желтый</t>
  </si>
  <si>
    <t>Блоки керамзитобетонные (марка М-75). Плотность кг/м3 1105. Теплопроводность 0,39. Фактический класс по плотности D1100.</t>
  </si>
  <si>
    <t>Полублок из керамзитобетона</t>
  </si>
  <si>
    <t>ПТ8,2</t>
  </si>
  <si>
    <t>на "бессер"-блоки</t>
  </si>
  <si>
    <t xml:space="preserve">Вся указанная в Прайс-Листе продукция производится на оборудовании "Besser company" (США) </t>
  </si>
  <si>
    <t>СБП 39 керамзит</t>
  </si>
  <si>
    <t>СБП 19 керамзит</t>
  </si>
  <si>
    <t>белый цемент</t>
  </si>
  <si>
    <t>терракот</t>
  </si>
  <si>
    <t>Плитка тротуарная          (1м 2= 40 шт)</t>
  </si>
  <si>
    <r>
      <t>13-22-8 0,025 м</t>
    </r>
    <r>
      <rPr>
        <vertAlign val="superscript"/>
        <sz val="9"/>
        <rFont val="Calibri"/>
        <family val="2"/>
      </rPr>
      <t>2</t>
    </r>
  </si>
  <si>
    <t>бц с мр.кр.</t>
  </si>
  <si>
    <t>сталь мр кр</t>
  </si>
  <si>
    <t>ярко- белый</t>
  </si>
  <si>
    <t>ярко-белый</t>
  </si>
  <si>
    <t>Эл. почта- besserplus@mail.ru</t>
  </si>
  <si>
    <t>Сайт -besserplus.ru</t>
  </si>
  <si>
    <t>ярко белая</t>
  </si>
  <si>
    <t>светло- коричн</t>
  </si>
  <si>
    <t>светл-корич мк</t>
  </si>
  <si>
    <t>светло-коричн</t>
  </si>
  <si>
    <t>светло-корич мк</t>
  </si>
  <si>
    <t>светло-коричн.</t>
  </si>
  <si>
    <t>Скидка 15% из наличия</t>
  </si>
  <si>
    <t>Полнотелый керамзитобетонный блок</t>
  </si>
  <si>
    <t>Маркировка</t>
  </si>
  <si>
    <t>Размер,  см</t>
  </si>
  <si>
    <t>БП 39 К</t>
  </si>
  <si>
    <t xml:space="preserve">Полнотелый керамзитобетонный  блок перегородочный </t>
  </si>
  <si>
    <t>ПБП 39 К</t>
  </si>
  <si>
    <t>Тел. факс: 293-40-07, 8-937-338-7777</t>
  </si>
  <si>
    <t>красный</t>
  </si>
  <si>
    <t>коричневый</t>
  </si>
  <si>
    <t>коричневый мк</t>
  </si>
  <si>
    <t>черный мр кр</t>
  </si>
  <si>
    <t>охра с мр кр</t>
  </si>
  <si>
    <t>Полнотелый бетонный блок</t>
  </si>
  <si>
    <t>БП 39</t>
  </si>
  <si>
    <t>синий с мр кр</t>
  </si>
  <si>
    <t>Поддон тарный - 650 руб.</t>
  </si>
  <si>
    <t>охра</t>
  </si>
  <si>
    <t>красный с мр кр</t>
  </si>
  <si>
    <t>красн с мр кр</t>
  </si>
  <si>
    <t>зелен бц мк</t>
  </si>
  <si>
    <t>действует с "28" ноября 2023г.</t>
  </si>
  <si>
    <t>В.Н. Вейраух</t>
  </si>
  <si>
    <t>СБП 39 КБ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</si>
</sst>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&quot;р.&quot;_-;\-* #,##0.0&quot;р.&quot;_-;_-* &quot;-&quot;??&quot;р.&quot;_-;_-@_-"/>
    <numFmt numFmtId="179" formatCode="_-* #,##0.000&quot;р.&quot;_-;\-* #,##0.000&quot;р.&quot;_-;_-* &quot;-&quot;??&quot;р.&quot;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8"/>
      <name val="Castellar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 Cyr"/>
      <family val="2"/>
    </font>
    <font>
      <b/>
      <sz val="12"/>
      <name val="Bodoni MT Condensed"/>
      <family val="1"/>
    </font>
    <font>
      <sz val="12"/>
      <name val="Bodoni MT Condensed"/>
      <family val="1"/>
    </font>
    <font>
      <b/>
      <sz val="14"/>
      <name val="Bodoni MT Condensed"/>
      <family val="1"/>
    </font>
    <font>
      <u val="single"/>
      <sz val="10"/>
      <name val="Arial Cyr"/>
      <family val="0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24"/>
      <name val="Times New Roman"/>
      <family val="1"/>
    </font>
    <font>
      <b/>
      <i/>
      <sz val="12.5"/>
      <name val="Times New Roman"/>
      <family val="1"/>
    </font>
    <font>
      <sz val="10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8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vertAlign val="superscript"/>
      <sz val="9"/>
      <name val="Calibri"/>
      <family val="2"/>
    </font>
    <font>
      <b/>
      <i/>
      <sz val="16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70" fontId="22" fillId="0" borderId="10" xfId="0" applyNumberFormat="1" applyFont="1" applyBorder="1" applyAlignment="1">
      <alignment/>
    </xf>
    <xf numFmtId="170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4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top" wrapText="1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30" fillId="0" borderId="0" xfId="0" applyFont="1" applyBorder="1" applyAlignment="1">
      <alignment/>
    </xf>
    <xf numFmtId="170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49" fontId="37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39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6" fillId="0" borderId="0" xfId="42" applyFont="1" applyAlignment="1" applyProtection="1">
      <alignment/>
      <protection/>
    </xf>
    <xf numFmtId="3" fontId="42" fillId="0" borderId="0" xfId="0" applyNumberFormat="1" applyFont="1" applyAlignment="1">
      <alignment/>
    </xf>
    <xf numFmtId="0" fontId="39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52" fillId="0" borderId="0" xfId="0" applyFont="1" applyAlignment="1">
      <alignment/>
    </xf>
    <xf numFmtId="170" fontId="22" fillId="0" borderId="12" xfId="0" applyNumberFormat="1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18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0" fontId="22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170" fontId="22" fillId="0" borderId="10" xfId="0" applyNumberFormat="1" applyFont="1" applyFill="1" applyBorder="1" applyAlignment="1">
      <alignment vertical="center"/>
    </xf>
    <xf numFmtId="49" fontId="0" fillId="0" borderId="18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top" wrapText="1"/>
    </xf>
    <xf numFmtId="0" fontId="36" fillId="0" borderId="0" xfId="0" applyFont="1" applyFill="1" applyAlignment="1">
      <alignment horizontal="right"/>
    </xf>
    <xf numFmtId="4" fontId="39" fillId="0" borderId="0" xfId="0" applyNumberFormat="1" applyFont="1" applyFill="1" applyAlignment="1">
      <alignment/>
    </xf>
    <xf numFmtId="0" fontId="45" fillId="0" borderId="0" xfId="0" applyFont="1" applyFill="1" applyAlignment="1">
      <alignment horizontal="left"/>
    </xf>
    <xf numFmtId="49" fontId="3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4" fontId="37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 vertical="center" wrapText="1"/>
    </xf>
    <xf numFmtId="170" fontId="22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70" fontId="22" fillId="0" borderId="18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170" fontId="22" fillId="0" borderId="19" xfId="0" applyNumberFormat="1" applyFont="1" applyFill="1" applyBorder="1" applyAlignment="1">
      <alignment/>
    </xf>
    <xf numFmtId="49" fontId="22" fillId="0" borderId="11" xfId="0" applyNumberFormat="1" applyFont="1" applyFill="1" applyBorder="1" applyAlignment="1">
      <alignment horizontal="center"/>
    </xf>
    <xf numFmtId="170" fontId="22" fillId="0" borderId="0" xfId="0" applyNumberFormat="1" applyFont="1" applyFill="1" applyAlignment="1">
      <alignment/>
    </xf>
    <xf numFmtId="170" fontId="22" fillId="0" borderId="11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170" fontId="22" fillId="0" borderId="18" xfId="0" applyNumberFormat="1" applyFont="1" applyFill="1" applyBorder="1" applyAlignment="1">
      <alignment vertical="center"/>
    </xf>
    <xf numFmtId="173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70" fontId="22" fillId="0" borderId="19" xfId="0" applyNumberFormat="1" applyFont="1" applyBorder="1" applyAlignment="1">
      <alignment/>
    </xf>
    <xf numFmtId="43" fontId="0" fillId="0" borderId="0" xfId="0" applyNumberFormat="1" applyAlignment="1">
      <alignment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0" fontId="2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170" fontId="22" fillId="0" borderId="20" xfId="0" applyNumberFormat="1" applyFont="1" applyBorder="1" applyAlignment="1">
      <alignment horizontal="center" vertical="center" textRotation="90"/>
    </xf>
    <xf numFmtId="170" fontId="22" fillId="0" borderId="16" xfId="0" applyNumberFormat="1" applyFont="1" applyBorder="1" applyAlignment="1">
      <alignment horizontal="center" vertical="center" textRotation="90"/>
    </xf>
    <xf numFmtId="170" fontId="22" fillId="0" borderId="21" xfId="0" applyNumberFormat="1" applyFont="1" applyBorder="1" applyAlignment="1">
      <alignment horizontal="center" vertical="center" textRotation="90"/>
    </xf>
    <xf numFmtId="170" fontId="22" fillId="0" borderId="10" xfId="0" applyNumberFormat="1" applyFont="1" applyFill="1" applyBorder="1" applyAlignment="1">
      <alignment horizontal="center" vertical="center"/>
    </xf>
    <xf numFmtId="170" fontId="22" fillId="0" borderId="13" xfId="0" applyNumberFormat="1" applyFont="1" applyFill="1" applyBorder="1" applyAlignment="1">
      <alignment horizontal="center" vertical="center"/>
    </xf>
    <xf numFmtId="170" fontId="22" fillId="0" borderId="14" xfId="0" applyNumberFormat="1" applyFont="1" applyFill="1" applyBorder="1" applyAlignment="1">
      <alignment horizontal="center" vertical="center"/>
    </xf>
    <xf numFmtId="170" fontId="22" fillId="0" borderId="12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49" fillId="0" borderId="0" xfId="0" applyFont="1" applyAlignment="1">
      <alignment horizontal="center"/>
    </xf>
    <xf numFmtId="0" fontId="52" fillId="0" borderId="0" xfId="0" applyFont="1" applyBorder="1" applyAlignment="1">
      <alignment horizontal="right"/>
    </xf>
    <xf numFmtId="0" fontId="53" fillId="0" borderId="0" xfId="0" applyFont="1" applyAlignment="1">
      <alignment horizontal="right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7" xfId="0" applyFont="1" applyBorder="1" applyAlignment="1">
      <alignment horizontal="left" vertical="distributed" wrapText="1"/>
    </xf>
    <xf numFmtId="0" fontId="18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vertical="center"/>
    </xf>
    <xf numFmtId="0" fontId="55" fillId="0" borderId="0" xfId="0" applyFont="1" applyBorder="1" applyAlignment="1">
      <alignment horizontal="center"/>
    </xf>
    <xf numFmtId="4" fontId="20" fillId="0" borderId="10" xfId="0" applyNumberFormat="1" applyFont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9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0" fillId="0" borderId="0" xfId="0" applyFill="1" applyAlignment="1">
      <alignment horizontal="justify" vertical="center" wrapText="1"/>
    </xf>
    <xf numFmtId="0" fontId="28" fillId="0" borderId="0" xfId="0" applyFont="1" applyFill="1" applyAlignment="1">
      <alignment horizontal="justify" vertical="center" wrapText="1"/>
    </xf>
    <xf numFmtId="0" fontId="0" fillId="0" borderId="0" xfId="0" applyAlignment="1">
      <alignment horizontal="left"/>
    </xf>
    <xf numFmtId="0" fontId="28" fillId="0" borderId="0" xfId="0" applyFont="1" applyFill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259</xdr:row>
      <xdr:rowOff>38100</xdr:rowOff>
    </xdr:from>
    <xdr:to>
      <xdr:col>4</xdr:col>
      <xdr:colOff>1095375</xdr:colOff>
      <xdr:row>259</xdr:row>
      <xdr:rowOff>904875</xdr:rowOff>
    </xdr:to>
    <xdr:pic>
      <xdr:nvPicPr>
        <xdr:cNvPr id="1" name="Рисунок 25" descr="Керамзи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40909875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260</xdr:row>
      <xdr:rowOff>47625</xdr:rowOff>
    </xdr:from>
    <xdr:to>
      <xdr:col>4</xdr:col>
      <xdr:colOff>971550</xdr:colOff>
      <xdr:row>260</xdr:row>
      <xdr:rowOff>933450</xdr:rowOff>
    </xdr:to>
    <xdr:pic>
      <xdr:nvPicPr>
        <xdr:cNvPr id="2" name="Рисунок 26" descr="Керамзит 1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41929050"/>
          <a:ext cx="800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78</xdr:row>
      <xdr:rowOff>133350</xdr:rowOff>
    </xdr:from>
    <xdr:to>
      <xdr:col>4</xdr:col>
      <xdr:colOff>1190625</xdr:colOff>
      <xdr:row>85</xdr:row>
      <xdr:rowOff>123825</xdr:rowOff>
    </xdr:to>
    <xdr:pic>
      <xdr:nvPicPr>
        <xdr:cNvPr id="3" name="Рисунок 48" descr="Блок ССБР39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28850" y="12544425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187</xdr:row>
      <xdr:rowOff>95250</xdr:rowOff>
    </xdr:from>
    <xdr:to>
      <xdr:col>4</xdr:col>
      <xdr:colOff>1000125</xdr:colOff>
      <xdr:row>193</xdr:row>
      <xdr:rowOff>0</xdr:rowOff>
    </xdr:to>
    <xdr:pic>
      <xdr:nvPicPr>
        <xdr:cNvPr id="4" name="Рисунок 49" descr="Блок ССПГ1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71725" y="286893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204</xdr:row>
      <xdr:rowOff>142875</xdr:rowOff>
    </xdr:from>
    <xdr:to>
      <xdr:col>4</xdr:col>
      <xdr:colOff>1171575</xdr:colOff>
      <xdr:row>210</xdr:row>
      <xdr:rowOff>57150</xdr:rowOff>
    </xdr:to>
    <xdr:pic>
      <xdr:nvPicPr>
        <xdr:cNvPr id="5" name="Рисунок 50" descr="Блок ССПГ39 13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38375" y="31327725"/>
          <a:ext cx="1123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219</xdr:row>
      <xdr:rowOff>28575</xdr:rowOff>
    </xdr:from>
    <xdr:to>
      <xdr:col>4</xdr:col>
      <xdr:colOff>1047750</xdr:colOff>
      <xdr:row>225</xdr:row>
      <xdr:rowOff>19050</xdr:rowOff>
    </xdr:to>
    <xdr:pic>
      <xdr:nvPicPr>
        <xdr:cNvPr id="6" name="Рисунок 51" descr="Блок П039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43150" y="33575625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110</xdr:row>
      <xdr:rowOff>85725</xdr:rowOff>
    </xdr:from>
    <xdr:to>
      <xdr:col>4</xdr:col>
      <xdr:colOff>1076325</xdr:colOff>
      <xdr:row>117</xdr:row>
      <xdr:rowOff>0</xdr:rowOff>
    </xdr:to>
    <xdr:pic>
      <xdr:nvPicPr>
        <xdr:cNvPr id="7" name="Рисунок 52" descr="Блок ССБР19 -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00300" y="17354550"/>
          <a:ext cx="866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128</xdr:row>
      <xdr:rowOff>114300</xdr:rowOff>
    </xdr:from>
    <xdr:to>
      <xdr:col>4</xdr:col>
      <xdr:colOff>1009650</xdr:colOff>
      <xdr:row>134</xdr:row>
      <xdr:rowOff>133350</xdr:rowOff>
    </xdr:to>
    <xdr:pic>
      <xdr:nvPicPr>
        <xdr:cNvPr id="8" name="Рисунок 53" descr="Блок ССБУ19 -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71725" y="20126325"/>
          <a:ext cx="828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95</xdr:row>
      <xdr:rowOff>104775</xdr:rowOff>
    </xdr:from>
    <xdr:to>
      <xdr:col>4</xdr:col>
      <xdr:colOff>1190625</xdr:colOff>
      <xdr:row>102</xdr:row>
      <xdr:rowOff>123825</xdr:rowOff>
    </xdr:to>
    <xdr:pic>
      <xdr:nvPicPr>
        <xdr:cNvPr id="9" name="Рисунок 54" descr="Блок ССБУ39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19325" y="15106650"/>
          <a:ext cx="1162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143</xdr:row>
      <xdr:rowOff>104775</xdr:rowOff>
    </xdr:from>
    <xdr:to>
      <xdr:col>4</xdr:col>
      <xdr:colOff>1133475</xdr:colOff>
      <xdr:row>151</xdr:row>
      <xdr:rowOff>9525</xdr:rowOff>
    </xdr:to>
    <xdr:pic>
      <xdr:nvPicPr>
        <xdr:cNvPr id="10" name="Рисунок 55" descr="Блок ССПБ39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22355175"/>
          <a:ext cx="10668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168</xdr:row>
      <xdr:rowOff>9525</xdr:rowOff>
    </xdr:from>
    <xdr:to>
      <xdr:col>4</xdr:col>
      <xdr:colOff>1200150</xdr:colOff>
      <xdr:row>175</xdr:row>
      <xdr:rowOff>66675</xdr:rowOff>
    </xdr:to>
    <xdr:pic>
      <xdr:nvPicPr>
        <xdr:cNvPr id="11" name="Рисунок 56" descr="Блок ССПГ39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19325" y="25917525"/>
          <a:ext cx="1171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231</xdr:row>
      <xdr:rowOff>57150</xdr:rowOff>
    </xdr:from>
    <xdr:to>
      <xdr:col>4</xdr:col>
      <xdr:colOff>1009650</xdr:colOff>
      <xdr:row>235</xdr:row>
      <xdr:rowOff>85725</xdr:rowOff>
    </xdr:to>
    <xdr:pic>
      <xdr:nvPicPr>
        <xdr:cNvPr id="12" name="Рисунок 57" descr="Блок супер 1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86000" y="35518725"/>
          <a:ext cx="914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17</xdr:row>
      <xdr:rowOff>95250</xdr:rowOff>
    </xdr:from>
    <xdr:to>
      <xdr:col>4</xdr:col>
      <xdr:colOff>1181100</xdr:colOff>
      <xdr:row>24</xdr:row>
      <xdr:rowOff>95250</xdr:rowOff>
    </xdr:to>
    <xdr:pic>
      <xdr:nvPicPr>
        <xdr:cNvPr id="13" name="Рисунок 22" descr="Блок СБП39-1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47900" y="2533650"/>
          <a:ext cx="1123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31</xdr:row>
      <xdr:rowOff>0</xdr:rowOff>
    </xdr:from>
    <xdr:to>
      <xdr:col>4</xdr:col>
      <xdr:colOff>962025</xdr:colOff>
      <xdr:row>36</xdr:row>
      <xdr:rowOff>123825</xdr:rowOff>
    </xdr:to>
    <xdr:pic>
      <xdr:nvPicPr>
        <xdr:cNvPr id="14" name="Рисунок 30" descr="Блок  СБП19 со швом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81250" y="4562475"/>
          <a:ext cx="771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41</xdr:row>
      <xdr:rowOff>85725</xdr:rowOff>
    </xdr:from>
    <xdr:to>
      <xdr:col>4</xdr:col>
      <xdr:colOff>1123950</xdr:colOff>
      <xdr:row>48</xdr:row>
      <xdr:rowOff>104775</xdr:rowOff>
    </xdr:to>
    <xdr:pic>
      <xdr:nvPicPr>
        <xdr:cNvPr id="15" name="Рисунок 23" descr="Блок ПБ39-1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57425" y="6172200"/>
          <a:ext cx="1057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51</xdr:row>
      <xdr:rowOff>19050</xdr:rowOff>
    </xdr:from>
    <xdr:to>
      <xdr:col>4</xdr:col>
      <xdr:colOff>1181100</xdr:colOff>
      <xdr:row>55</xdr:row>
      <xdr:rowOff>142875</xdr:rowOff>
    </xdr:to>
    <xdr:pic>
      <xdr:nvPicPr>
        <xdr:cNvPr id="16" name="Рисунок 27" descr="Блок ПБГ39-1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09800" y="7629525"/>
          <a:ext cx="1162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57</xdr:row>
      <xdr:rowOff>76200</xdr:rowOff>
    </xdr:from>
    <xdr:to>
      <xdr:col>4</xdr:col>
      <xdr:colOff>914400</xdr:colOff>
      <xdr:row>60</xdr:row>
      <xdr:rowOff>85725</xdr:rowOff>
    </xdr:to>
    <xdr:pic>
      <xdr:nvPicPr>
        <xdr:cNvPr id="17" name="Рисунок 28" descr="Блок ПБГ19-1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57450" y="868680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66</xdr:row>
      <xdr:rowOff>28575</xdr:rowOff>
    </xdr:from>
    <xdr:to>
      <xdr:col>4</xdr:col>
      <xdr:colOff>866775</xdr:colOff>
      <xdr:row>70</xdr:row>
      <xdr:rowOff>19050</xdr:rowOff>
    </xdr:to>
    <xdr:pic>
      <xdr:nvPicPr>
        <xdr:cNvPr id="18" name="Рисунок 29" descr="Блок ПБР39 1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09800" y="10191750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61</xdr:row>
      <xdr:rowOff>47625</xdr:rowOff>
    </xdr:from>
    <xdr:to>
      <xdr:col>4</xdr:col>
      <xdr:colOff>1019175</xdr:colOff>
      <xdr:row>65</xdr:row>
      <xdr:rowOff>123825</xdr:rowOff>
    </xdr:to>
    <xdr:pic>
      <xdr:nvPicPr>
        <xdr:cNvPr id="19" name="Рисунок 31" descr="Блок ПБГ39 135 1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19325" y="9372600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246</xdr:row>
      <xdr:rowOff>38100</xdr:rowOff>
    </xdr:from>
    <xdr:to>
      <xdr:col>4</xdr:col>
      <xdr:colOff>1181100</xdr:colOff>
      <xdr:row>251</xdr:row>
      <xdr:rowOff>76200</xdr:rowOff>
    </xdr:to>
    <xdr:pic>
      <xdr:nvPicPr>
        <xdr:cNvPr id="20" name="Рисунок 36" descr="Блок ББ39-1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219325" y="37795200"/>
          <a:ext cx="1152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238</xdr:row>
      <xdr:rowOff>38100</xdr:rowOff>
    </xdr:from>
    <xdr:to>
      <xdr:col>4</xdr:col>
      <xdr:colOff>1028700</xdr:colOff>
      <xdr:row>241</xdr:row>
      <xdr:rowOff>142875</xdr:rowOff>
    </xdr:to>
    <xdr:pic>
      <xdr:nvPicPr>
        <xdr:cNvPr id="21" name="Рисунок 23" descr="Блок ПБП39-1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428875" y="36290250"/>
          <a:ext cx="790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253</xdr:row>
      <xdr:rowOff>66675</xdr:rowOff>
    </xdr:from>
    <xdr:to>
      <xdr:col>4</xdr:col>
      <xdr:colOff>923925</xdr:colOff>
      <xdr:row>254</xdr:row>
      <xdr:rowOff>257175</xdr:rowOff>
    </xdr:to>
    <xdr:pic>
      <xdr:nvPicPr>
        <xdr:cNvPr id="22" name="Рисунок 23" descr="Блок ПТ8,2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95550" y="389763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261</xdr:row>
      <xdr:rowOff>66675</xdr:rowOff>
    </xdr:from>
    <xdr:to>
      <xdr:col>4</xdr:col>
      <xdr:colOff>1019175</xdr:colOff>
      <xdr:row>261</xdr:row>
      <xdr:rowOff>771525</xdr:rowOff>
    </xdr:to>
    <xdr:pic>
      <xdr:nvPicPr>
        <xdr:cNvPr id="23" name="Picture 396" descr="полнотелый кб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419350" y="42919650"/>
          <a:ext cx="790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262</xdr:row>
      <xdr:rowOff>85725</xdr:rowOff>
    </xdr:from>
    <xdr:to>
      <xdr:col>4</xdr:col>
      <xdr:colOff>981075</xdr:colOff>
      <xdr:row>262</xdr:row>
      <xdr:rowOff>781050</xdr:rowOff>
    </xdr:to>
    <xdr:pic>
      <xdr:nvPicPr>
        <xdr:cNvPr id="24" name="Picture 398" descr="Keramzitobetonnye8-500x50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76500" y="439102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71</xdr:row>
      <xdr:rowOff>9525</xdr:rowOff>
    </xdr:from>
    <xdr:to>
      <xdr:col>4</xdr:col>
      <xdr:colOff>971550</xdr:colOff>
      <xdr:row>71</xdr:row>
      <xdr:rowOff>514350</xdr:rowOff>
    </xdr:to>
    <xdr:pic>
      <xdr:nvPicPr>
        <xdr:cNvPr id="25" name="Picture 396" descr="полнотелый кб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438400" y="11001375"/>
          <a:ext cx="723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263</xdr:row>
      <xdr:rowOff>38100</xdr:rowOff>
    </xdr:from>
    <xdr:to>
      <xdr:col>4</xdr:col>
      <xdr:colOff>1095375</xdr:colOff>
      <xdr:row>263</xdr:row>
      <xdr:rowOff>904875</xdr:rowOff>
    </xdr:to>
    <xdr:pic>
      <xdr:nvPicPr>
        <xdr:cNvPr id="26" name="Рисунок 25" descr="Керамзи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44834175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B1:R274"/>
  <sheetViews>
    <sheetView tabSelected="1" view="pageBreakPreview" zoomScaleSheetLayoutView="100" zoomScalePageLayoutView="0" workbookViewId="0" topLeftCell="B1">
      <selection activeCell="K265" sqref="K265"/>
    </sheetView>
  </sheetViews>
  <sheetFormatPr defaultColWidth="9.140625" defaultRowHeight="12.75"/>
  <cols>
    <col min="1" max="1" width="6.8515625" style="0" hidden="1" customWidth="1"/>
    <col min="2" max="2" width="4.140625" style="0" customWidth="1"/>
    <col min="3" max="3" width="18.57421875" style="0" customWidth="1"/>
    <col min="4" max="4" width="10.140625" style="0" customWidth="1"/>
    <col min="5" max="5" width="18.140625" style="0" customWidth="1"/>
    <col min="6" max="6" width="6.7109375" style="0" customWidth="1"/>
    <col min="7" max="7" width="9.421875" style="1" customWidth="1"/>
    <col min="8" max="8" width="13.28125" style="6" customWidth="1"/>
    <col min="9" max="10" width="11.140625" style="6" hidden="1" customWidth="1"/>
    <col min="11" max="11" width="11.140625" style="6" customWidth="1"/>
    <col min="12" max="12" width="11.28125" style="7" customWidth="1"/>
    <col min="13" max="13" width="12.7109375" style="0" customWidth="1"/>
    <col min="14" max="14" width="15.57421875" style="13" hidden="1" customWidth="1"/>
    <col min="15" max="15" width="8.00390625" style="13" customWidth="1"/>
    <col min="16" max="16" width="12.140625" style="13" customWidth="1"/>
    <col min="18" max="18" width="11.8515625" style="0" customWidth="1"/>
    <col min="19" max="19" width="11.7109375" style="0" customWidth="1"/>
    <col min="21" max="21" width="10.8515625" style="0" bestFit="1" customWidth="1"/>
  </cols>
  <sheetData>
    <row r="1" spans="3:16" s="34" customFormat="1" ht="13.5" customHeight="1">
      <c r="C1" s="151" t="s">
        <v>75</v>
      </c>
      <c r="D1" s="151"/>
      <c r="E1" s="151"/>
      <c r="F1" s="151"/>
      <c r="G1" s="152"/>
      <c r="H1" s="87"/>
      <c r="I1" s="88"/>
      <c r="J1" s="88"/>
      <c r="K1" s="87" t="s">
        <v>0</v>
      </c>
      <c r="L1" s="87"/>
      <c r="N1" s="35"/>
      <c r="O1" s="35"/>
      <c r="P1" s="35"/>
    </row>
    <row r="2" spans="3:16" s="34" customFormat="1" ht="15" customHeight="1">
      <c r="C2" s="151"/>
      <c r="D2" s="151"/>
      <c r="E2" s="151"/>
      <c r="F2" s="151"/>
      <c r="G2" s="152"/>
      <c r="H2" s="89"/>
      <c r="I2" s="88"/>
      <c r="J2" s="88"/>
      <c r="K2" s="90" t="s">
        <v>1</v>
      </c>
      <c r="L2" s="90"/>
      <c r="N2" s="35"/>
      <c r="O2" s="35"/>
      <c r="P2" s="35"/>
    </row>
    <row r="3" spans="7:16" s="34" customFormat="1" ht="13.5" customHeight="1">
      <c r="G3" s="36"/>
      <c r="H3" s="91"/>
      <c r="I3" s="88"/>
      <c r="J3" s="88"/>
      <c r="K3" s="87" t="s">
        <v>75</v>
      </c>
      <c r="L3" s="87"/>
      <c r="N3" s="35"/>
      <c r="O3" s="35"/>
      <c r="P3" s="35"/>
    </row>
    <row r="4" spans="7:16" s="34" customFormat="1" ht="6" customHeight="1" hidden="1">
      <c r="G4" s="36"/>
      <c r="H4" s="92"/>
      <c r="I4" s="90"/>
      <c r="J4" s="90"/>
      <c r="K4" s="90"/>
      <c r="L4" s="93"/>
      <c r="N4" s="35"/>
      <c r="O4" s="35"/>
      <c r="P4" s="35"/>
    </row>
    <row r="5" spans="2:16" s="34" customFormat="1" ht="11.25" customHeight="1">
      <c r="B5" s="37" t="s">
        <v>2</v>
      </c>
      <c r="C5" s="38"/>
      <c r="D5" s="38"/>
      <c r="E5" s="39"/>
      <c r="G5" s="36"/>
      <c r="H5" s="92"/>
      <c r="I5" s="90"/>
      <c r="J5" s="90"/>
      <c r="K5" s="90"/>
      <c r="L5" s="93"/>
      <c r="N5" s="35"/>
      <c r="O5" s="35"/>
      <c r="P5" s="35"/>
    </row>
    <row r="6" spans="2:16" s="34" customFormat="1" ht="16.5" customHeight="1">
      <c r="B6" s="37" t="s">
        <v>126</v>
      </c>
      <c r="C6" s="38"/>
      <c r="D6" s="38"/>
      <c r="E6" s="40"/>
      <c r="G6" s="41"/>
      <c r="H6" s="94"/>
      <c r="I6" s="95"/>
      <c r="J6" s="95"/>
      <c r="K6" s="95"/>
      <c r="L6" s="92" t="s">
        <v>141</v>
      </c>
      <c r="N6" s="35"/>
      <c r="O6" s="35"/>
      <c r="P6" s="35"/>
    </row>
    <row r="7" spans="2:16" s="34" customFormat="1" ht="12" customHeight="1">
      <c r="B7" s="55" t="s">
        <v>112</v>
      </c>
      <c r="C7" s="38"/>
      <c r="D7" s="38"/>
      <c r="E7" s="40"/>
      <c r="G7" s="41"/>
      <c r="H7" s="94"/>
      <c r="I7" s="95"/>
      <c r="J7" s="95"/>
      <c r="K7" s="95"/>
      <c r="L7" s="92"/>
      <c r="N7" s="35"/>
      <c r="O7" s="35"/>
      <c r="P7" s="35"/>
    </row>
    <row r="8" spans="2:16" s="34" customFormat="1" ht="11.25" customHeight="1">
      <c r="B8" s="42" t="s">
        <v>111</v>
      </c>
      <c r="C8" s="43"/>
      <c r="D8" s="38"/>
      <c r="E8" s="44"/>
      <c r="H8" s="88"/>
      <c r="I8" s="88"/>
      <c r="J8" s="88"/>
      <c r="K8" s="88"/>
      <c r="L8" s="88"/>
      <c r="N8" s="35"/>
      <c r="O8" s="35"/>
      <c r="P8" s="35"/>
    </row>
    <row r="9" spans="2:16" s="34" customFormat="1" ht="4.5" customHeight="1" hidden="1">
      <c r="B9" s="45"/>
      <c r="C9" s="46"/>
      <c r="D9" s="46"/>
      <c r="H9" s="88"/>
      <c r="I9" s="88"/>
      <c r="J9" s="88"/>
      <c r="K9" s="88"/>
      <c r="L9" s="88"/>
      <c r="N9" s="35"/>
      <c r="O9" s="35"/>
      <c r="P9" s="35"/>
    </row>
    <row r="10" spans="2:16" s="34" customFormat="1" ht="18.75" customHeight="1">
      <c r="B10" s="153" t="s">
        <v>3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N10" s="35"/>
      <c r="O10" s="35"/>
      <c r="P10" s="35"/>
    </row>
    <row r="11" spans="2:16" s="34" customFormat="1" ht="15" customHeight="1">
      <c r="B11" s="168" t="s">
        <v>99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N11" s="35"/>
      <c r="O11" s="35"/>
      <c r="P11" s="35"/>
    </row>
    <row r="12" spans="2:16" s="34" customFormat="1" ht="5.25" customHeight="1" hidden="1">
      <c r="B12" s="47"/>
      <c r="C12" s="47"/>
      <c r="D12" s="47"/>
      <c r="E12" s="47"/>
      <c r="F12" s="47"/>
      <c r="G12" s="47"/>
      <c r="H12" s="96"/>
      <c r="I12" s="97"/>
      <c r="J12" s="97"/>
      <c r="K12" s="97"/>
      <c r="L12" s="98"/>
      <c r="N12" s="35"/>
      <c r="O12" s="35"/>
      <c r="P12" s="35"/>
    </row>
    <row r="13" spans="2:16" s="34" customFormat="1" ht="12.75" customHeight="1">
      <c r="B13" s="47"/>
      <c r="C13" s="47"/>
      <c r="D13" s="47"/>
      <c r="E13" s="48"/>
      <c r="F13" s="154" t="s">
        <v>140</v>
      </c>
      <c r="G13" s="155"/>
      <c r="H13" s="155"/>
      <c r="I13" s="155"/>
      <c r="J13" s="155"/>
      <c r="K13" s="155"/>
      <c r="L13" s="155"/>
      <c r="N13" s="35"/>
      <c r="O13" s="35"/>
      <c r="P13" s="35"/>
    </row>
    <row r="14" spans="2:12" ht="5.25" customHeight="1" hidden="1">
      <c r="B14" s="2"/>
      <c r="C14" s="2"/>
      <c r="D14" s="2"/>
      <c r="E14" s="2"/>
      <c r="F14" s="2"/>
      <c r="G14" s="2"/>
      <c r="H14" s="99"/>
      <c r="L14" s="99"/>
    </row>
    <row r="15" spans="2:12" ht="15" customHeight="1">
      <c r="B15" s="169" t="s">
        <v>4</v>
      </c>
      <c r="C15" s="169" t="s">
        <v>5</v>
      </c>
      <c r="D15" s="169" t="s">
        <v>6</v>
      </c>
      <c r="E15" s="170" t="s">
        <v>7</v>
      </c>
      <c r="F15" s="169" t="s">
        <v>8</v>
      </c>
      <c r="G15" s="175" t="s">
        <v>9</v>
      </c>
      <c r="H15" s="176" t="s">
        <v>72</v>
      </c>
      <c r="I15" s="172" t="s">
        <v>78</v>
      </c>
      <c r="J15" s="173"/>
      <c r="K15" s="173"/>
      <c r="L15" s="174"/>
    </row>
    <row r="16" spans="2:16" s="3" customFormat="1" ht="21" customHeight="1">
      <c r="B16" s="169"/>
      <c r="C16" s="169"/>
      <c r="D16" s="169"/>
      <c r="E16" s="171"/>
      <c r="F16" s="169"/>
      <c r="G16" s="175"/>
      <c r="H16" s="176"/>
      <c r="I16" s="100" t="s">
        <v>76</v>
      </c>
      <c r="J16" s="100" t="s">
        <v>76</v>
      </c>
      <c r="K16" s="100" t="s">
        <v>76</v>
      </c>
      <c r="L16" s="100" t="s">
        <v>77</v>
      </c>
      <c r="M16" s="30"/>
      <c r="N16" s="14"/>
      <c r="O16" s="14"/>
      <c r="P16" s="14"/>
    </row>
    <row r="17" spans="2:7" ht="16.5" customHeight="1">
      <c r="B17" s="4" t="s">
        <v>10</v>
      </c>
      <c r="C17" s="4"/>
      <c r="D17" s="5"/>
      <c r="E17" s="5"/>
      <c r="F17" s="5"/>
      <c r="G17" s="6"/>
    </row>
    <row r="18" spans="2:16" s="10" customFormat="1" ht="12" customHeight="1">
      <c r="B18" s="161">
        <v>1</v>
      </c>
      <c r="C18" s="137" t="s">
        <v>11</v>
      </c>
      <c r="D18" s="128" t="s">
        <v>12</v>
      </c>
      <c r="E18" s="128"/>
      <c r="F18" s="179">
        <v>18</v>
      </c>
      <c r="G18" s="129" t="s">
        <v>13</v>
      </c>
      <c r="H18" s="86" t="s">
        <v>14</v>
      </c>
      <c r="I18" s="79">
        <f>42.23*1.05</f>
        <v>44.341499999999996</v>
      </c>
      <c r="J18" s="79">
        <v>52.5</v>
      </c>
      <c r="K18" s="79">
        <f>J18*1.03</f>
        <v>54.075</v>
      </c>
      <c r="L18" s="79">
        <f>K18*1.2</f>
        <v>64.89</v>
      </c>
      <c r="M18" s="9"/>
      <c r="N18" s="9">
        <v>39.1</v>
      </c>
      <c r="O18" s="16"/>
      <c r="P18" s="17"/>
    </row>
    <row r="19" spans="2:16" s="10" customFormat="1" ht="12" customHeight="1">
      <c r="B19" s="161"/>
      <c r="C19" s="138"/>
      <c r="D19" s="128"/>
      <c r="E19" s="128"/>
      <c r="F19" s="179"/>
      <c r="G19" s="129"/>
      <c r="H19" s="86" t="s">
        <v>15</v>
      </c>
      <c r="I19" s="79">
        <f>46.36*1.05*1.05*1.05</f>
        <v>53.66749500000001</v>
      </c>
      <c r="J19" s="79">
        <v>60.94346563462502</v>
      </c>
      <c r="K19" s="79">
        <f aca="true" t="shared" si="0" ref="K19:K72">J19*1.03</f>
        <v>62.77176960366377</v>
      </c>
      <c r="L19" s="79">
        <f aca="true" t="shared" si="1" ref="L19:L72">K19*1.2</f>
        <v>75.32612352439652</v>
      </c>
      <c r="M19" s="9"/>
      <c r="N19" s="8">
        <f>44.1525*(1+5/100)</f>
        <v>46.360125000000004</v>
      </c>
      <c r="O19" s="16"/>
      <c r="P19" s="17"/>
    </row>
    <row r="20" spans="2:16" s="10" customFormat="1" ht="12" customHeight="1">
      <c r="B20" s="161"/>
      <c r="C20" s="138"/>
      <c r="D20" s="128"/>
      <c r="E20" s="128"/>
      <c r="F20" s="179"/>
      <c r="G20" s="129"/>
      <c r="H20" s="86" t="s">
        <v>127</v>
      </c>
      <c r="I20" s="79">
        <f>51.11*1.1</f>
        <v>56.221000000000004</v>
      </c>
      <c r="J20" s="79">
        <v>67.03532017875</v>
      </c>
      <c r="K20" s="79">
        <f t="shared" si="0"/>
        <v>69.0463797841125</v>
      </c>
      <c r="L20" s="79">
        <f t="shared" si="1"/>
        <v>82.855655740935</v>
      </c>
      <c r="M20" s="9"/>
      <c r="N20" s="8"/>
      <c r="O20" s="16"/>
      <c r="P20" s="17"/>
    </row>
    <row r="21" spans="2:16" s="10" customFormat="1" ht="12" customHeight="1">
      <c r="B21" s="161"/>
      <c r="C21" s="138"/>
      <c r="D21" s="128"/>
      <c r="E21" s="128"/>
      <c r="F21" s="179"/>
      <c r="G21" s="129"/>
      <c r="H21" s="86" t="s">
        <v>136</v>
      </c>
      <c r="I21" s="79"/>
      <c r="J21" s="79">
        <v>63.990638916356275</v>
      </c>
      <c r="K21" s="79">
        <f t="shared" si="0"/>
        <v>65.91035808384696</v>
      </c>
      <c r="L21" s="79">
        <f t="shared" si="1"/>
        <v>79.09242970061635</v>
      </c>
      <c r="M21" s="9"/>
      <c r="N21" s="8"/>
      <c r="O21" s="16"/>
      <c r="P21" s="17"/>
    </row>
    <row r="22" spans="2:16" s="10" customFormat="1" ht="12" customHeight="1">
      <c r="B22" s="161"/>
      <c r="C22" s="138"/>
      <c r="D22" s="128"/>
      <c r="E22" s="128"/>
      <c r="F22" s="179"/>
      <c r="G22" s="129"/>
      <c r="H22" s="86" t="s">
        <v>128</v>
      </c>
      <c r="I22" s="79">
        <f>51.11*1.1</f>
        <v>56.221000000000004</v>
      </c>
      <c r="J22" s="79">
        <v>63.84316207500001</v>
      </c>
      <c r="K22" s="79">
        <f t="shared" si="0"/>
        <v>65.75845693725002</v>
      </c>
      <c r="L22" s="79">
        <f t="shared" si="1"/>
        <v>78.91014832470002</v>
      </c>
      <c r="M22" s="9"/>
      <c r="N22" s="8"/>
      <c r="O22" s="16"/>
      <c r="P22" s="17"/>
    </row>
    <row r="23" spans="2:16" s="10" customFormat="1" ht="12" customHeight="1">
      <c r="B23" s="161"/>
      <c r="C23" s="138"/>
      <c r="D23" s="128"/>
      <c r="E23" s="128"/>
      <c r="F23" s="179"/>
      <c r="G23" s="129"/>
      <c r="H23" s="86" t="s">
        <v>118</v>
      </c>
      <c r="I23" s="79">
        <f aca="true" t="shared" si="2" ref="I23:I41">$N23*1.05*1.05*1.05*1.05</f>
        <v>59.170844250000016</v>
      </c>
      <c r="J23" s="79">
        <v>67.19293145919377</v>
      </c>
      <c r="K23" s="79">
        <f t="shared" si="0"/>
        <v>69.20871940296959</v>
      </c>
      <c r="L23" s="79">
        <f t="shared" si="1"/>
        <v>83.0504632835635</v>
      </c>
      <c r="M23" s="9"/>
      <c r="N23" s="8">
        <v>48.68</v>
      </c>
      <c r="O23" s="16"/>
      <c r="P23" s="17"/>
    </row>
    <row r="24" spans="2:16" s="10" customFormat="1" ht="12" customHeight="1">
      <c r="B24" s="161"/>
      <c r="C24" s="138"/>
      <c r="D24" s="128"/>
      <c r="E24" s="128"/>
      <c r="F24" s="179"/>
      <c r="G24" s="129"/>
      <c r="H24" s="86" t="s">
        <v>16</v>
      </c>
      <c r="I24" s="79">
        <f t="shared" si="2"/>
        <v>106.93963212187504</v>
      </c>
      <c r="J24" s="79">
        <v>127.50987138413818</v>
      </c>
      <c r="K24" s="79">
        <f t="shared" si="0"/>
        <v>131.33516752566234</v>
      </c>
      <c r="L24" s="79">
        <f t="shared" si="1"/>
        <v>157.60220103079482</v>
      </c>
      <c r="M24" s="9"/>
      <c r="N24" s="8">
        <v>87.97950000000002</v>
      </c>
      <c r="O24" s="16"/>
      <c r="P24" s="17"/>
    </row>
    <row r="25" spans="2:16" s="10" customFormat="1" ht="12" customHeight="1">
      <c r="B25" s="161"/>
      <c r="C25" s="138"/>
      <c r="D25" s="128"/>
      <c r="E25" s="128"/>
      <c r="F25" s="179"/>
      <c r="G25" s="129"/>
      <c r="H25" s="86" t="s">
        <v>84</v>
      </c>
      <c r="I25" s="79">
        <f t="shared" si="2"/>
        <v>74.61142014375002</v>
      </c>
      <c r="J25" s="79">
        <v>88.96320660122589</v>
      </c>
      <c r="K25" s="79">
        <f t="shared" si="0"/>
        <v>91.63210279926267</v>
      </c>
      <c r="L25" s="79">
        <f t="shared" si="1"/>
        <v>109.9585233591152</v>
      </c>
      <c r="M25" s="9"/>
      <c r="N25" s="8">
        <v>61.383</v>
      </c>
      <c r="O25" s="16"/>
      <c r="P25" s="17"/>
    </row>
    <row r="26" spans="2:16" s="10" customFormat="1" ht="11.25" customHeight="1">
      <c r="B26" s="161"/>
      <c r="C26" s="138"/>
      <c r="D26" s="128"/>
      <c r="E26" s="128"/>
      <c r="F26" s="179"/>
      <c r="G26" s="129"/>
      <c r="H26" s="86" t="s">
        <v>85</v>
      </c>
      <c r="I26" s="79">
        <f t="shared" si="2"/>
        <v>64.796814928125</v>
      </c>
      <c r="J26" s="79">
        <v>73.58164311200557</v>
      </c>
      <c r="K26" s="79">
        <f t="shared" si="0"/>
        <v>75.78909240536574</v>
      </c>
      <c r="L26" s="79">
        <f t="shared" si="1"/>
        <v>90.94691088643889</v>
      </c>
      <c r="M26" s="9"/>
      <c r="N26" s="8">
        <v>53.3085</v>
      </c>
      <c r="O26" s="16"/>
      <c r="P26" s="17"/>
    </row>
    <row r="27" spans="2:16" s="10" customFormat="1" ht="12" customHeight="1">
      <c r="B27" s="161"/>
      <c r="C27" s="138"/>
      <c r="D27" s="128"/>
      <c r="E27" s="128"/>
      <c r="F27" s="179"/>
      <c r="G27" s="129"/>
      <c r="H27" s="86" t="s">
        <v>86</v>
      </c>
      <c r="I27" s="79">
        <f t="shared" si="2"/>
        <v>78.82314930000001</v>
      </c>
      <c r="J27" s="79">
        <v>93.9850776546649</v>
      </c>
      <c r="K27" s="79">
        <f t="shared" si="0"/>
        <v>96.80462998430485</v>
      </c>
      <c r="L27" s="79">
        <f t="shared" si="1"/>
        <v>116.16555598116582</v>
      </c>
      <c r="M27" s="9"/>
      <c r="N27" s="8">
        <v>64.848</v>
      </c>
      <c r="O27" s="16"/>
      <c r="P27" s="17"/>
    </row>
    <row r="28" spans="2:16" s="10" customFormat="1" ht="12" customHeight="1">
      <c r="B28" s="161"/>
      <c r="C28" s="138"/>
      <c r="D28" s="128"/>
      <c r="E28" s="128"/>
      <c r="F28" s="179"/>
      <c r="G28" s="129"/>
      <c r="H28" s="86" t="s">
        <v>109</v>
      </c>
      <c r="I28" s="79">
        <f t="shared" si="2"/>
        <v>123.30095400000002</v>
      </c>
      <c r="J28" s="79">
        <v>140.01748083855003</v>
      </c>
      <c r="K28" s="79">
        <f t="shared" si="0"/>
        <v>144.21800526370654</v>
      </c>
      <c r="L28" s="79">
        <f t="shared" si="1"/>
        <v>173.06160631644784</v>
      </c>
      <c r="M28" s="9"/>
      <c r="N28" s="8">
        <v>101.44</v>
      </c>
      <c r="O28" s="16"/>
      <c r="P28" s="17"/>
    </row>
    <row r="29" spans="2:16" s="10" customFormat="1" ht="12" customHeight="1">
      <c r="B29" s="161"/>
      <c r="C29" s="138"/>
      <c r="D29" s="128"/>
      <c r="E29" s="128"/>
      <c r="F29" s="179"/>
      <c r="G29" s="129"/>
      <c r="H29" s="86" t="s">
        <v>103</v>
      </c>
      <c r="I29" s="79">
        <f t="shared" si="2"/>
        <v>102.74066578125002</v>
      </c>
      <c r="J29" s="79">
        <v>116.66973154454298</v>
      </c>
      <c r="K29" s="79">
        <f t="shared" si="0"/>
        <v>120.16982349087928</v>
      </c>
      <c r="L29" s="79">
        <f t="shared" si="1"/>
        <v>144.20378818905513</v>
      </c>
      <c r="M29" s="9"/>
      <c r="N29" s="8">
        <v>84.525</v>
      </c>
      <c r="O29" s="16"/>
      <c r="P29" s="17"/>
    </row>
    <row r="30" spans="2:16" s="10" customFormat="1" ht="12" customHeight="1">
      <c r="B30" s="161"/>
      <c r="C30" s="139"/>
      <c r="D30" s="128"/>
      <c r="E30" s="128"/>
      <c r="F30" s="179"/>
      <c r="G30" s="129"/>
      <c r="H30" s="86" t="s">
        <v>87</v>
      </c>
      <c r="I30" s="79">
        <f t="shared" si="2"/>
        <v>107.85855484687504</v>
      </c>
      <c r="J30" s="79">
        <v>128.60555234125215</v>
      </c>
      <c r="K30" s="79">
        <f t="shared" si="0"/>
        <v>132.4637189114897</v>
      </c>
      <c r="L30" s="79">
        <f t="shared" si="1"/>
        <v>158.95646269378764</v>
      </c>
      <c r="M30" s="9"/>
      <c r="N30" s="8">
        <v>88.73550000000002</v>
      </c>
      <c r="O30" s="16"/>
      <c r="P30" s="17"/>
    </row>
    <row r="31" spans="2:16" s="10" customFormat="1" ht="12" customHeight="1">
      <c r="B31" s="161">
        <v>2</v>
      </c>
      <c r="C31" s="137" t="s">
        <v>17</v>
      </c>
      <c r="D31" s="128" t="s">
        <v>18</v>
      </c>
      <c r="E31" s="128"/>
      <c r="F31" s="128">
        <v>10.2</v>
      </c>
      <c r="G31" s="167" t="s">
        <v>19</v>
      </c>
      <c r="H31" s="86" t="s">
        <v>14</v>
      </c>
      <c r="I31" s="79">
        <f t="shared" si="2"/>
        <v>36.182582296875005</v>
      </c>
      <c r="J31" s="79">
        <v>41.088035891773835</v>
      </c>
      <c r="K31" s="79">
        <f t="shared" si="0"/>
        <v>42.32067696852705</v>
      </c>
      <c r="L31" s="79">
        <f t="shared" si="1"/>
        <v>50.784812362232465</v>
      </c>
      <c r="M31" s="9"/>
      <c r="N31" s="8">
        <v>29.7675</v>
      </c>
      <c r="O31" s="16"/>
      <c r="P31" s="17"/>
    </row>
    <row r="32" spans="2:16" s="10" customFormat="1" ht="12" customHeight="1">
      <c r="B32" s="161"/>
      <c r="C32" s="138"/>
      <c r="D32" s="128"/>
      <c r="E32" s="128"/>
      <c r="F32" s="128"/>
      <c r="G32" s="167"/>
      <c r="H32" s="86" t="s">
        <v>15</v>
      </c>
      <c r="I32" s="79">
        <f t="shared" si="2"/>
        <v>40.81548436875</v>
      </c>
      <c r="J32" s="79">
        <v>46.34904366204329</v>
      </c>
      <c r="K32" s="79">
        <f t="shared" si="0"/>
        <v>47.73951497190459</v>
      </c>
      <c r="L32" s="79">
        <f t="shared" si="1"/>
        <v>57.28741796628551</v>
      </c>
      <c r="M32" s="9"/>
      <c r="N32" s="8">
        <v>33.579</v>
      </c>
      <c r="O32" s="16"/>
      <c r="P32" s="17"/>
    </row>
    <row r="33" spans="2:16" s="10" customFormat="1" ht="12" customHeight="1">
      <c r="B33" s="161"/>
      <c r="C33" s="138"/>
      <c r="D33" s="128"/>
      <c r="E33" s="128"/>
      <c r="F33" s="128"/>
      <c r="G33" s="167"/>
      <c r="H33" s="86" t="s">
        <v>127</v>
      </c>
      <c r="I33" s="79"/>
      <c r="J33" s="79">
        <v>48.66649584514546</v>
      </c>
      <c r="K33" s="79">
        <f t="shared" si="0"/>
        <v>50.12649072049983</v>
      </c>
      <c r="L33" s="79">
        <f t="shared" si="1"/>
        <v>60.151788864599794</v>
      </c>
      <c r="M33" s="9"/>
      <c r="N33" s="8"/>
      <c r="O33" s="16"/>
      <c r="P33" s="17"/>
    </row>
    <row r="34" spans="2:16" s="10" customFormat="1" ht="12" customHeight="1">
      <c r="B34" s="161"/>
      <c r="C34" s="138"/>
      <c r="D34" s="128"/>
      <c r="E34" s="128"/>
      <c r="F34" s="128"/>
      <c r="G34" s="167"/>
      <c r="H34" s="86" t="s">
        <v>136</v>
      </c>
      <c r="I34" s="79"/>
      <c r="J34" s="79">
        <v>48.66649584514546</v>
      </c>
      <c r="K34" s="79">
        <f t="shared" si="0"/>
        <v>50.12649072049983</v>
      </c>
      <c r="L34" s="79">
        <f t="shared" si="1"/>
        <v>60.151788864599794</v>
      </c>
      <c r="M34" s="9"/>
      <c r="N34" s="8"/>
      <c r="O34" s="16"/>
      <c r="P34" s="17"/>
    </row>
    <row r="35" spans="2:16" s="10" customFormat="1" ht="12" customHeight="1">
      <c r="B35" s="161"/>
      <c r="C35" s="138"/>
      <c r="D35" s="128"/>
      <c r="E35" s="128"/>
      <c r="F35" s="128"/>
      <c r="G35" s="167"/>
      <c r="H35" s="86" t="s">
        <v>16</v>
      </c>
      <c r="I35" s="79">
        <f t="shared" si="2"/>
        <v>57.560298468750005</v>
      </c>
      <c r="J35" s="79">
        <v>68.63223773033334</v>
      </c>
      <c r="K35" s="79">
        <f t="shared" si="0"/>
        <v>70.69120486224335</v>
      </c>
      <c r="L35" s="79">
        <f t="shared" si="1"/>
        <v>84.82944583469202</v>
      </c>
      <c r="M35" s="9"/>
      <c r="N35" s="8">
        <v>47.355</v>
      </c>
      <c r="O35" s="16"/>
      <c r="P35" s="17"/>
    </row>
    <row r="36" spans="2:16" s="10" customFormat="1" ht="12" customHeight="1">
      <c r="B36" s="161"/>
      <c r="C36" s="138"/>
      <c r="D36" s="128"/>
      <c r="E36" s="128"/>
      <c r="F36" s="128"/>
      <c r="G36" s="167"/>
      <c r="H36" s="86" t="s">
        <v>84</v>
      </c>
      <c r="I36" s="79">
        <f t="shared" si="2"/>
        <v>54.34406893125001</v>
      </c>
      <c r="J36" s="79">
        <v>64.79735438043444</v>
      </c>
      <c r="K36" s="79">
        <f t="shared" si="0"/>
        <v>66.74127501184748</v>
      </c>
      <c r="L36" s="79">
        <f t="shared" si="1"/>
        <v>80.08953001421698</v>
      </c>
      <c r="M36" s="9"/>
      <c r="N36" s="8">
        <v>44.709</v>
      </c>
      <c r="O36" s="16"/>
      <c r="P36" s="17"/>
    </row>
    <row r="37" spans="2:16" s="10" customFormat="1" ht="12" customHeight="1">
      <c r="B37" s="161"/>
      <c r="C37" s="138"/>
      <c r="D37" s="128"/>
      <c r="E37" s="128"/>
      <c r="F37" s="128"/>
      <c r="G37" s="167"/>
      <c r="H37" s="86" t="s">
        <v>85</v>
      </c>
      <c r="I37" s="79">
        <f t="shared" si="2"/>
        <v>41.836509618750014</v>
      </c>
      <c r="J37" s="79">
        <v>47.50849441031205</v>
      </c>
      <c r="K37" s="79">
        <f t="shared" si="0"/>
        <v>48.93374924262142</v>
      </c>
      <c r="L37" s="79">
        <f t="shared" si="1"/>
        <v>58.7204990911457</v>
      </c>
      <c r="M37" s="9"/>
      <c r="N37" s="8">
        <v>34.419000000000004</v>
      </c>
      <c r="O37" s="16"/>
      <c r="P37" s="17"/>
    </row>
    <row r="38" spans="2:16" s="10" customFormat="1" ht="12" customHeight="1">
      <c r="B38" s="161"/>
      <c r="C38" s="138"/>
      <c r="D38" s="128"/>
      <c r="E38" s="128"/>
      <c r="F38" s="128"/>
      <c r="G38" s="167"/>
      <c r="H38" s="86" t="s">
        <v>86</v>
      </c>
      <c r="I38" s="79">
        <f t="shared" si="2"/>
        <v>46.23968100937501</v>
      </c>
      <c r="J38" s="79">
        <v>55.134057050332096</v>
      </c>
      <c r="K38" s="79">
        <f t="shared" si="0"/>
        <v>56.78807876184206</v>
      </c>
      <c r="L38" s="79">
        <f t="shared" si="1"/>
        <v>68.14569451421046</v>
      </c>
      <c r="M38" s="9"/>
      <c r="N38" s="8">
        <v>38.0415</v>
      </c>
      <c r="O38" s="16"/>
      <c r="P38" s="17"/>
    </row>
    <row r="39" spans="2:16" s="10" customFormat="1" ht="12" customHeight="1">
      <c r="B39" s="161"/>
      <c r="C39" s="138"/>
      <c r="D39" s="128"/>
      <c r="E39" s="128"/>
      <c r="F39" s="128"/>
      <c r="G39" s="167"/>
      <c r="H39" s="86" t="s">
        <v>110</v>
      </c>
      <c r="I39" s="79">
        <f t="shared" si="2"/>
        <v>81.07426687500002</v>
      </c>
      <c r="J39" s="79">
        <v>92.06591060657816</v>
      </c>
      <c r="K39" s="79">
        <f t="shared" si="0"/>
        <v>94.82788792477551</v>
      </c>
      <c r="L39" s="79">
        <f t="shared" si="1"/>
        <v>113.79346550973061</v>
      </c>
      <c r="M39" s="9"/>
      <c r="N39" s="8">
        <v>66.7</v>
      </c>
      <c r="O39" s="16"/>
      <c r="P39" s="17"/>
    </row>
    <row r="40" spans="2:16" s="10" customFormat="1" ht="12" customHeight="1">
      <c r="B40" s="161"/>
      <c r="C40" s="138"/>
      <c r="D40" s="128"/>
      <c r="E40" s="128"/>
      <c r="F40" s="128"/>
      <c r="G40" s="167"/>
      <c r="H40" s="86" t="s">
        <v>103</v>
      </c>
      <c r="I40" s="79">
        <f t="shared" si="2"/>
        <v>57.011497396875015</v>
      </c>
      <c r="J40" s="79">
        <v>64.74083115645635</v>
      </c>
      <c r="K40" s="79">
        <f t="shared" si="0"/>
        <v>66.68305609115005</v>
      </c>
      <c r="L40" s="79">
        <f t="shared" si="1"/>
        <v>80.01966730938005</v>
      </c>
      <c r="M40" s="9"/>
      <c r="N40" s="8">
        <v>46.9035</v>
      </c>
      <c r="O40" s="16"/>
      <c r="P40" s="17"/>
    </row>
    <row r="41" spans="2:16" s="10" customFormat="1" ht="12" customHeight="1">
      <c r="B41" s="161"/>
      <c r="C41" s="139"/>
      <c r="D41" s="128"/>
      <c r="E41" s="128"/>
      <c r="F41" s="128"/>
      <c r="G41" s="167"/>
      <c r="H41" s="86" t="s">
        <v>87</v>
      </c>
      <c r="I41" s="79">
        <f t="shared" si="2"/>
        <v>63.303565500000005</v>
      </c>
      <c r="J41" s="79">
        <v>75.48024371229565</v>
      </c>
      <c r="K41" s="79">
        <f t="shared" si="0"/>
        <v>77.74465102366452</v>
      </c>
      <c r="L41" s="79">
        <f t="shared" si="1"/>
        <v>93.29358122839741</v>
      </c>
      <c r="M41" s="9"/>
      <c r="N41" s="8">
        <v>52.08</v>
      </c>
      <c r="O41" s="16"/>
      <c r="P41" s="17"/>
    </row>
    <row r="42" spans="2:16" s="10" customFormat="1" ht="12" customHeight="1">
      <c r="B42" s="161">
        <v>3</v>
      </c>
      <c r="C42" s="137" t="s">
        <v>20</v>
      </c>
      <c r="D42" s="128" t="s">
        <v>21</v>
      </c>
      <c r="E42" s="128"/>
      <c r="F42" s="128">
        <v>11.1</v>
      </c>
      <c r="G42" s="167" t="s">
        <v>22</v>
      </c>
      <c r="H42" s="86" t="s">
        <v>14</v>
      </c>
      <c r="I42" s="79">
        <f>30.45*1.05*1.05*1.05</f>
        <v>35.24968125</v>
      </c>
      <c r="J42" s="79">
        <v>40.028656785468755</v>
      </c>
      <c r="K42" s="79">
        <f t="shared" si="0"/>
        <v>41.22951648903282</v>
      </c>
      <c r="L42" s="79">
        <f t="shared" si="1"/>
        <v>49.47541978683938</v>
      </c>
      <c r="M42" s="9"/>
      <c r="N42" s="8">
        <f>27.6675+27.6675*7/100</f>
        <v>29.604225</v>
      </c>
      <c r="O42" s="16"/>
      <c r="P42" s="17"/>
    </row>
    <row r="43" spans="2:16" s="10" customFormat="1" ht="12" customHeight="1">
      <c r="B43" s="161"/>
      <c r="C43" s="138"/>
      <c r="D43" s="128"/>
      <c r="E43" s="128"/>
      <c r="F43" s="128"/>
      <c r="G43" s="167"/>
      <c r="H43" s="86" t="s">
        <v>15</v>
      </c>
      <c r="I43" s="79">
        <f>40.77*1.05*1.05*1.05</f>
        <v>47.196371250000006</v>
      </c>
      <c r="J43" s="79">
        <v>53.595019282218765</v>
      </c>
      <c r="K43" s="79">
        <f t="shared" si="0"/>
        <v>55.202869860685325</v>
      </c>
      <c r="L43" s="79">
        <f t="shared" si="1"/>
        <v>66.2434438328224</v>
      </c>
      <c r="M43" s="9"/>
      <c r="N43" s="8">
        <v>40.7715</v>
      </c>
      <c r="O43" s="16"/>
      <c r="P43" s="17"/>
    </row>
    <row r="44" spans="2:16" s="10" customFormat="1" ht="12" customHeight="1">
      <c r="B44" s="161"/>
      <c r="C44" s="138"/>
      <c r="D44" s="128"/>
      <c r="E44" s="128"/>
      <c r="F44" s="128"/>
      <c r="G44" s="167"/>
      <c r="H44" s="86" t="s">
        <v>127</v>
      </c>
      <c r="I44" s="79"/>
      <c r="J44" s="79">
        <v>56.270445</v>
      </c>
      <c r="K44" s="79">
        <f t="shared" si="0"/>
        <v>57.958558350000004</v>
      </c>
      <c r="L44" s="79">
        <f t="shared" si="1"/>
        <v>69.55027002</v>
      </c>
      <c r="M44" s="9"/>
      <c r="N44" s="8"/>
      <c r="O44" s="16"/>
      <c r="P44" s="17"/>
    </row>
    <row r="45" spans="2:16" s="10" customFormat="1" ht="12" customHeight="1">
      <c r="B45" s="161"/>
      <c r="C45" s="138"/>
      <c r="D45" s="128"/>
      <c r="E45" s="128"/>
      <c r="F45" s="128"/>
      <c r="G45" s="167"/>
      <c r="H45" s="86" t="s">
        <v>136</v>
      </c>
      <c r="I45" s="79"/>
      <c r="J45" s="79">
        <v>56.270445</v>
      </c>
      <c r="K45" s="79">
        <f t="shared" si="0"/>
        <v>57.958558350000004</v>
      </c>
      <c r="L45" s="79">
        <f t="shared" si="1"/>
        <v>69.55027002</v>
      </c>
      <c r="M45" s="9"/>
      <c r="N45" s="8"/>
      <c r="O45" s="16"/>
      <c r="P45" s="17"/>
    </row>
    <row r="46" spans="2:16" s="10" customFormat="1" ht="12" customHeight="1">
      <c r="B46" s="161"/>
      <c r="C46" s="138"/>
      <c r="D46" s="128"/>
      <c r="E46" s="128"/>
      <c r="F46" s="128"/>
      <c r="G46" s="167"/>
      <c r="H46" s="86" t="s">
        <v>16</v>
      </c>
      <c r="I46" s="79">
        <f aca="true" t="shared" si="3" ref="I46:I71">$N46*1.05*1.05*1.05*1.05</f>
        <v>69.67221049687502</v>
      </c>
      <c r="J46" s="79">
        <v>83.0739214567383</v>
      </c>
      <c r="K46" s="79">
        <f t="shared" si="0"/>
        <v>85.56613910044045</v>
      </c>
      <c r="L46" s="79">
        <f t="shared" si="1"/>
        <v>102.67936692052854</v>
      </c>
      <c r="M46" s="9"/>
      <c r="N46" s="8">
        <v>57.319500000000005</v>
      </c>
      <c r="O46" s="16"/>
      <c r="P46" s="17"/>
    </row>
    <row r="47" spans="2:16" s="10" customFormat="1" ht="12" customHeight="1">
      <c r="B47" s="161"/>
      <c r="C47" s="138"/>
      <c r="D47" s="128"/>
      <c r="E47" s="128"/>
      <c r="F47" s="128"/>
      <c r="G47" s="167"/>
      <c r="H47" s="86" t="s">
        <v>84</v>
      </c>
      <c r="I47" s="79">
        <f t="shared" si="3"/>
        <v>52.110576196875</v>
      </c>
      <c r="J47" s="79">
        <v>62.13424094300466</v>
      </c>
      <c r="K47" s="79">
        <f t="shared" si="0"/>
        <v>63.998268171294804</v>
      </c>
      <c r="L47" s="79">
        <f t="shared" si="1"/>
        <v>76.79792180555376</v>
      </c>
      <c r="M47" s="9"/>
      <c r="N47" s="8">
        <v>42.8715</v>
      </c>
      <c r="O47" s="16"/>
      <c r="P47" s="17"/>
    </row>
    <row r="48" spans="2:16" s="10" customFormat="1" ht="12" customHeight="1">
      <c r="B48" s="161"/>
      <c r="C48" s="138"/>
      <c r="D48" s="128"/>
      <c r="E48" s="128"/>
      <c r="F48" s="128"/>
      <c r="G48" s="167"/>
      <c r="H48" s="86" t="s">
        <v>85</v>
      </c>
      <c r="I48" s="79">
        <f t="shared" si="3"/>
        <v>50.094051328125005</v>
      </c>
      <c r="J48" s="79">
        <v>56.885552336935554</v>
      </c>
      <c r="K48" s="79">
        <f t="shared" si="0"/>
        <v>58.59211890704362</v>
      </c>
      <c r="L48" s="79">
        <f t="shared" si="1"/>
        <v>70.31054268845234</v>
      </c>
      <c r="M48" s="9"/>
      <c r="N48" s="8">
        <v>41.2125</v>
      </c>
      <c r="O48" s="16"/>
      <c r="P48" s="17"/>
    </row>
    <row r="49" spans="2:16" s="10" customFormat="1" ht="12" customHeight="1">
      <c r="B49" s="161"/>
      <c r="C49" s="138"/>
      <c r="D49" s="128"/>
      <c r="E49" s="128"/>
      <c r="F49" s="128"/>
      <c r="G49" s="167"/>
      <c r="H49" s="86" t="s">
        <v>86</v>
      </c>
      <c r="I49" s="79">
        <f t="shared" si="3"/>
        <v>55.14812631562501</v>
      </c>
      <c r="J49" s="79">
        <v>65.75607521790917</v>
      </c>
      <c r="K49" s="79">
        <f t="shared" si="0"/>
        <v>67.72875747444645</v>
      </c>
      <c r="L49" s="79">
        <f t="shared" si="1"/>
        <v>81.27450896933574</v>
      </c>
      <c r="M49" s="9"/>
      <c r="N49" s="8">
        <v>45.3705</v>
      </c>
      <c r="O49" s="16"/>
      <c r="P49" s="17"/>
    </row>
    <row r="50" spans="2:16" s="10" customFormat="1" ht="12" customHeight="1">
      <c r="B50" s="161"/>
      <c r="C50" s="138"/>
      <c r="D50" s="128"/>
      <c r="E50" s="128"/>
      <c r="F50" s="128"/>
      <c r="G50" s="167"/>
      <c r="H50" s="86" t="s">
        <v>103</v>
      </c>
      <c r="I50" s="79">
        <f t="shared" si="3"/>
        <v>69.37866573750003</v>
      </c>
      <c r="J50" s="79">
        <v>78.7846783448616</v>
      </c>
      <c r="K50" s="79">
        <f t="shared" si="0"/>
        <v>81.14821869520745</v>
      </c>
      <c r="L50" s="79">
        <f t="shared" si="1"/>
        <v>97.37786243424894</v>
      </c>
      <c r="M50" s="9"/>
      <c r="N50" s="8">
        <v>57.078</v>
      </c>
      <c r="O50" s="16"/>
      <c r="P50" s="17"/>
    </row>
    <row r="51" spans="2:16" s="10" customFormat="1" ht="12" customHeight="1">
      <c r="B51" s="161"/>
      <c r="C51" s="139"/>
      <c r="D51" s="128"/>
      <c r="E51" s="128"/>
      <c r="F51" s="128"/>
      <c r="G51" s="167"/>
      <c r="H51" s="86" t="s">
        <v>87</v>
      </c>
      <c r="I51" s="79">
        <f t="shared" si="3"/>
        <v>72.83738877187501</v>
      </c>
      <c r="J51" s="79">
        <v>86.8479336423531</v>
      </c>
      <c r="K51" s="79">
        <f t="shared" si="0"/>
        <v>89.4533716516237</v>
      </c>
      <c r="L51" s="79">
        <f t="shared" si="1"/>
        <v>107.34404598194844</v>
      </c>
      <c r="M51" s="9"/>
      <c r="N51" s="8">
        <v>59.923500000000004</v>
      </c>
      <c r="O51" s="16"/>
      <c r="P51" s="17"/>
    </row>
    <row r="52" spans="2:16" s="10" customFormat="1" ht="13.5" customHeight="1">
      <c r="B52" s="161">
        <v>4</v>
      </c>
      <c r="C52" s="137" t="s">
        <v>23</v>
      </c>
      <c r="D52" s="128" t="s">
        <v>24</v>
      </c>
      <c r="E52" s="128"/>
      <c r="F52" s="128">
        <v>16.7</v>
      </c>
      <c r="G52" s="167" t="s">
        <v>25</v>
      </c>
      <c r="H52" s="86" t="s">
        <v>14</v>
      </c>
      <c r="I52" s="79">
        <f t="shared" si="3"/>
        <v>61.50400849687501</v>
      </c>
      <c r="J52" s="79">
        <v>69.84241444883884</v>
      </c>
      <c r="K52" s="79">
        <f t="shared" si="0"/>
        <v>71.937686882304</v>
      </c>
      <c r="L52" s="79">
        <f t="shared" si="1"/>
        <v>86.3252242587648</v>
      </c>
      <c r="M52" s="9"/>
      <c r="N52" s="8">
        <v>50.5995</v>
      </c>
      <c r="O52" s="16"/>
      <c r="P52" s="17"/>
    </row>
    <row r="53" spans="2:16" s="10" customFormat="1" ht="13.5" customHeight="1">
      <c r="B53" s="161"/>
      <c r="C53" s="138"/>
      <c r="D53" s="128"/>
      <c r="E53" s="128"/>
      <c r="F53" s="128"/>
      <c r="G53" s="167"/>
      <c r="H53" s="86" t="s">
        <v>15</v>
      </c>
      <c r="I53" s="79">
        <f t="shared" si="3"/>
        <v>72.60765809062501</v>
      </c>
      <c r="J53" s="79">
        <v>82.45144133626151</v>
      </c>
      <c r="K53" s="79">
        <f t="shared" si="0"/>
        <v>84.92498457634936</v>
      </c>
      <c r="L53" s="79">
        <f t="shared" si="1"/>
        <v>101.90998149161923</v>
      </c>
      <c r="M53" s="9"/>
      <c r="N53" s="8">
        <v>59.734500000000004</v>
      </c>
      <c r="O53" s="16"/>
      <c r="P53" s="17"/>
    </row>
    <row r="54" spans="2:16" s="10" customFormat="1" ht="14.25" customHeight="1">
      <c r="B54" s="161"/>
      <c r="C54" s="138"/>
      <c r="D54" s="128"/>
      <c r="E54" s="128"/>
      <c r="F54" s="128"/>
      <c r="G54" s="167"/>
      <c r="H54" s="86" t="s">
        <v>16</v>
      </c>
      <c r="I54" s="79">
        <f t="shared" si="3"/>
        <v>109.76021437500002</v>
      </c>
      <c r="J54" s="79">
        <v>124.64095543889066</v>
      </c>
      <c r="K54" s="79">
        <f t="shared" si="0"/>
        <v>128.38018410205737</v>
      </c>
      <c r="L54" s="79">
        <f t="shared" si="1"/>
        <v>154.05622092246884</v>
      </c>
      <c r="M54" s="9"/>
      <c r="N54" s="8">
        <v>90.3</v>
      </c>
      <c r="O54" s="16"/>
      <c r="P54" s="17"/>
    </row>
    <row r="55" spans="2:16" s="10" customFormat="1" ht="12" customHeight="1">
      <c r="B55" s="161"/>
      <c r="C55" s="138"/>
      <c r="D55" s="128"/>
      <c r="E55" s="128"/>
      <c r="F55" s="128"/>
      <c r="G55" s="167"/>
      <c r="H55" s="86" t="s">
        <v>85</v>
      </c>
      <c r="I55" s="79">
        <f t="shared" si="3"/>
        <v>76.870438509375</v>
      </c>
      <c r="J55" s="79">
        <v>87.29214821028353</v>
      </c>
      <c r="K55" s="79">
        <f t="shared" si="0"/>
        <v>89.91091265659203</v>
      </c>
      <c r="L55" s="79">
        <f t="shared" si="1"/>
        <v>107.89309518791043</v>
      </c>
      <c r="M55" s="9"/>
      <c r="N55" s="8">
        <v>63.2415</v>
      </c>
      <c r="O55" s="16"/>
      <c r="P55" s="17"/>
    </row>
    <row r="56" spans="2:16" s="10" customFormat="1" ht="12" customHeight="1">
      <c r="B56" s="161"/>
      <c r="C56" s="139"/>
      <c r="D56" s="128"/>
      <c r="E56" s="128"/>
      <c r="F56" s="128"/>
      <c r="G56" s="167"/>
      <c r="H56" s="86" t="s">
        <v>103</v>
      </c>
      <c r="I56" s="79">
        <f t="shared" si="3"/>
        <v>111.89160458437502</v>
      </c>
      <c r="J56" s="79">
        <v>127.06130887590167</v>
      </c>
      <c r="K56" s="79">
        <f t="shared" si="0"/>
        <v>130.87314814217874</v>
      </c>
      <c r="L56" s="79">
        <f t="shared" si="1"/>
        <v>157.0477777706145</v>
      </c>
      <c r="M56" s="9"/>
      <c r="N56" s="8">
        <v>92.0535</v>
      </c>
      <c r="O56" s="16"/>
      <c r="P56" s="17"/>
    </row>
    <row r="57" spans="2:16" s="10" customFormat="1" ht="13.5" customHeight="1">
      <c r="B57" s="161">
        <v>5</v>
      </c>
      <c r="C57" s="137" t="s">
        <v>26</v>
      </c>
      <c r="D57" s="128" t="s">
        <v>27</v>
      </c>
      <c r="E57" s="128"/>
      <c r="F57" s="128">
        <v>9.5</v>
      </c>
      <c r="G57" s="167" t="s">
        <v>28</v>
      </c>
      <c r="H57" s="86" t="s">
        <v>14</v>
      </c>
      <c r="I57" s="79">
        <f t="shared" si="3"/>
        <v>35.18708267812501</v>
      </c>
      <c r="J57" s="79">
        <v>39.95757141221181</v>
      </c>
      <c r="K57" s="79">
        <f t="shared" si="0"/>
        <v>41.15629855457817</v>
      </c>
      <c r="L57" s="79">
        <f t="shared" si="1"/>
        <v>49.3875582654938</v>
      </c>
      <c r="M57" s="9"/>
      <c r="N57" s="8">
        <v>28.948500000000003</v>
      </c>
      <c r="O57" s="16"/>
      <c r="P57" s="17"/>
    </row>
    <row r="58" spans="2:16" s="10" customFormat="1" ht="14.25" customHeight="1">
      <c r="B58" s="161"/>
      <c r="C58" s="138"/>
      <c r="D58" s="128"/>
      <c r="E58" s="128"/>
      <c r="F58" s="128"/>
      <c r="G58" s="167"/>
      <c r="H58" s="86" t="s">
        <v>15</v>
      </c>
      <c r="I58" s="79">
        <f t="shared" si="3"/>
        <v>39.56472843750001</v>
      </c>
      <c r="J58" s="79">
        <v>44.92871649541408</v>
      </c>
      <c r="K58" s="79">
        <f t="shared" si="0"/>
        <v>46.2765779902765</v>
      </c>
      <c r="L58" s="79">
        <f t="shared" si="1"/>
        <v>55.5318935883318</v>
      </c>
      <c r="M58" s="9"/>
      <c r="N58" s="8">
        <v>32.55</v>
      </c>
      <c r="O58" s="16"/>
      <c r="P58" s="17"/>
    </row>
    <row r="59" spans="2:16" s="10" customFormat="1" ht="15" customHeight="1">
      <c r="B59" s="161"/>
      <c r="C59" s="138"/>
      <c r="D59" s="128"/>
      <c r="E59" s="128"/>
      <c r="F59" s="128"/>
      <c r="G59" s="167"/>
      <c r="H59" s="86" t="s">
        <v>16</v>
      </c>
      <c r="I59" s="79">
        <f t="shared" si="3"/>
        <v>54.17815232812501</v>
      </c>
      <c r="J59" s="79">
        <v>61.52335533001056</v>
      </c>
      <c r="K59" s="79">
        <f t="shared" si="0"/>
        <v>63.369055989910876</v>
      </c>
      <c r="L59" s="79">
        <f t="shared" si="1"/>
        <v>76.04286718789305</v>
      </c>
      <c r="M59" s="9"/>
      <c r="N59" s="8">
        <v>44.5725</v>
      </c>
      <c r="O59" s="16"/>
      <c r="P59" s="17"/>
    </row>
    <row r="60" spans="2:16" s="10" customFormat="1" ht="13.5" customHeight="1">
      <c r="B60" s="161"/>
      <c r="C60" s="138"/>
      <c r="D60" s="128"/>
      <c r="E60" s="128"/>
      <c r="F60" s="128"/>
      <c r="G60" s="167"/>
      <c r="H60" s="86" t="s">
        <v>85</v>
      </c>
      <c r="I60" s="79">
        <f t="shared" si="3"/>
        <v>42.257682534375014</v>
      </c>
      <c r="J60" s="79">
        <v>47.98676784397291</v>
      </c>
      <c r="K60" s="79">
        <f t="shared" si="0"/>
        <v>49.4263708792921</v>
      </c>
      <c r="L60" s="79">
        <f t="shared" si="1"/>
        <v>59.31164505515052</v>
      </c>
      <c r="M60" s="9"/>
      <c r="N60" s="8">
        <v>34.7655</v>
      </c>
      <c r="O60" s="16"/>
      <c r="P60" s="17"/>
    </row>
    <row r="61" spans="2:16" s="10" customFormat="1" ht="13.5" customHeight="1">
      <c r="B61" s="161"/>
      <c r="C61" s="139"/>
      <c r="D61" s="128"/>
      <c r="E61" s="128"/>
      <c r="F61" s="128"/>
      <c r="G61" s="167"/>
      <c r="H61" s="86" t="s">
        <v>103</v>
      </c>
      <c r="I61" s="79">
        <f t="shared" si="3"/>
        <v>54.17815232812501</v>
      </c>
      <c r="J61" s="79">
        <v>61.52335533001056</v>
      </c>
      <c r="K61" s="79">
        <f t="shared" si="0"/>
        <v>63.369055989910876</v>
      </c>
      <c r="L61" s="79">
        <f t="shared" si="1"/>
        <v>76.04286718789305</v>
      </c>
      <c r="M61" s="9"/>
      <c r="N61" s="8">
        <v>44.5725</v>
      </c>
      <c r="O61" s="16"/>
      <c r="P61" s="17"/>
    </row>
    <row r="62" spans="2:16" s="10" customFormat="1" ht="13.5" customHeight="1">
      <c r="B62" s="161">
        <v>6</v>
      </c>
      <c r="C62" s="137" t="s">
        <v>29</v>
      </c>
      <c r="D62" s="128" t="s">
        <v>30</v>
      </c>
      <c r="E62" s="128"/>
      <c r="F62" s="128">
        <v>20.1</v>
      </c>
      <c r="G62" s="167" t="s">
        <v>25</v>
      </c>
      <c r="H62" s="86" t="s">
        <v>14</v>
      </c>
      <c r="I62" s="79">
        <f t="shared" si="3"/>
        <v>75.30061218750001</v>
      </c>
      <c r="J62" s="79">
        <v>85.50949268482033</v>
      </c>
      <c r="K62" s="79">
        <f t="shared" si="0"/>
        <v>88.07477746536495</v>
      </c>
      <c r="L62" s="79">
        <f t="shared" si="1"/>
        <v>105.68973295843793</v>
      </c>
      <c r="M62" s="9"/>
      <c r="N62" s="8">
        <v>61.95</v>
      </c>
      <c r="O62" s="16"/>
      <c r="P62" s="17"/>
    </row>
    <row r="63" spans="2:16" s="10" customFormat="1" ht="11.25" customHeight="1">
      <c r="B63" s="161"/>
      <c r="C63" s="138"/>
      <c r="D63" s="128"/>
      <c r="E63" s="128"/>
      <c r="F63" s="128"/>
      <c r="G63" s="167"/>
      <c r="H63" s="86" t="s">
        <v>15</v>
      </c>
      <c r="I63" s="79">
        <f t="shared" si="3"/>
        <v>91.751881528125</v>
      </c>
      <c r="J63" s="79">
        <v>104.19114286630054</v>
      </c>
      <c r="K63" s="79">
        <f t="shared" si="0"/>
        <v>107.31687715228956</v>
      </c>
      <c r="L63" s="79">
        <f t="shared" si="1"/>
        <v>128.78025258274747</v>
      </c>
      <c r="M63" s="9"/>
      <c r="N63" s="8">
        <v>75.4845</v>
      </c>
      <c r="O63" s="16"/>
      <c r="P63" s="17"/>
    </row>
    <row r="64" spans="2:16" s="10" customFormat="1" ht="15" customHeight="1">
      <c r="B64" s="161"/>
      <c r="C64" s="138"/>
      <c r="D64" s="128"/>
      <c r="E64" s="128"/>
      <c r="F64" s="128"/>
      <c r="G64" s="167"/>
      <c r="H64" s="86" t="s">
        <v>16</v>
      </c>
      <c r="I64" s="79">
        <f t="shared" si="3"/>
        <v>133.11616696875004</v>
      </c>
      <c r="J64" s="79">
        <v>151.16339130553837</v>
      </c>
      <c r="K64" s="79">
        <f t="shared" si="0"/>
        <v>155.6982930447045</v>
      </c>
      <c r="L64" s="79">
        <f t="shared" si="1"/>
        <v>186.8379516536454</v>
      </c>
      <c r="M64" s="9"/>
      <c r="N64" s="8">
        <v>109.515</v>
      </c>
      <c r="O64" s="16"/>
      <c r="P64" s="17"/>
    </row>
    <row r="65" spans="2:16" s="10" customFormat="1" ht="12.75" customHeight="1">
      <c r="B65" s="161"/>
      <c r="C65" s="138"/>
      <c r="D65" s="128"/>
      <c r="E65" s="128"/>
      <c r="F65" s="128"/>
      <c r="G65" s="167"/>
      <c r="H65" s="86" t="s">
        <v>85</v>
      </c>
      <c r="I65" s="79">
        <f t="shared" si="3"/>
        <v>95.09573922187502</v>
      </c>
      <c r="J65" s="79">
        <v>107.98834406688074</v>
      </c>
      <c r="K65" s="79">
        <f t="shared" si="0"/>
        <v>111.22799438888717</v>
      </c>
      <c r="L65" s="79">
        <f t="shared" si="1"/>
        <v>133.4735932666646</v>
      </c>
      <c r="M65" s="9"/>
      <c r="N65" s="8">
        <v>78.2355</v>
      </c>
      <c r="O65" s="16"/>
      <c r="P65" s="17"/>
    </row>
    <row r="66" spans="2:16" s="10" customFormat="1" ht="13.5" customHeight="1">
      <c r="B66" s="161"/>
      <c r="C66" s="139"/>
      <c r="D66" s="128"/>
      <c r="E66" s="128"/>
      <c r="F66" s="128"/>
      <c r="G66" s="167"/>
      <c r="H66" s="86" t="s">
        <v>103</v>
      </c>
      <c r="I66" s="79">
        <f t="shared" si="3"/>
        <v>125.24150972812502</v>
      </c>
      <c r="J66" s="79">
        <v>142.2211274095156</v>
      </c>
      <c r="K66" s="79">
        <f t="shared" si="0"/>
        <v>146.48776123180107</v>
      </c>
      <c r="L66" s="79">
        <f t="shared" si="1"/>
        <v>175.78531347816127</v>
      </c>
      <c r="M66" s="9"/>
      <c r="N66" s="8">
        <v>103.0365</v>
      </c>
      <c r="O66" s="16"/>
      <c r="P66" s="17"/>
    </row>
    <row r="67" spans="2:16" s="10" customFormat="1" ht="15.75" customHeight="1">
      <c r="B67" s="161">
        <v>7</v>
      </c>
      <c r="C67" s="137" t="s">
        <v>31</v>
      </c>
      <c r="D67" s="128" t="s">
        <v>32</v>
      </c>
      <c r="E67" s="128"/>
      <c r="F67" s="128">
        <v>15.4</v>
      </c>
      <c r="G67" s="167" t="s">
        <v>25</v>
      </c>
      <c r="H67" s="86" t="s">
        <v>14</v>
      </c>
      <c r="I67" s="79">
        <f t="shared" si="3"/>
        <v>67.97475601875001</v>
      </c>
      <c r="J67" s="79">
        <v>77.19043356599207</v>
      </c>
      <c r="K67" s="79">
        <f t="shared" si="0"/>
        <v>79.50614657297183</v>
      </c>
      <c r="L67" s="79">
        <f t="shared" si="1"/>
        <v>95.40737588756619</v>
      </c>
      <c r="M67" s="9"/>
      <c r="N67" s="8">
        <v>55.923</v>
      </c>
      <c r="O67" s="16"/>
      <c r="P67" s="17"/>
    </row>
    <row r="68" spans="2:16" s="10" customFormat="1" ht="14.25" customHeight="1">
      <c r="B68" s="161"/>
      <c r="C68" s="138"/>
      <c r="D68" s="128"/>
      <c r="E68" s="128"/>
      <c r="F68" s="128"/>
      <c r="G68" s="167"/>
      <c r="H68" s="86" t="s">
        <v>15</v>
      </c>
      <c r="I68" s="79">
        <f t="shared" si="3"/>
        <v>79.21879658437501</v>
      </c>
      <c r="J68" s="79">
        <v>89.95888493130167</v>
      </c>
      <c r="K68" s="79">
        <f t="shared" si="0"/>
        <v>92.65765147924073</v>
      </c>
      <c r="L68" s="79">
        <f t="shared" si="1"/>
        <v>111.18918177508887</v>
      </c>
      <c r="M68" s="9"/>
      <c r="N68" s="8">
        <v>65.1735</v>
      </c>
      <c r="O68" s="16"/>
      <c r="P68" s="17"/>
    </row>
    <row r="69" spans="2:16" s="10" customFormat="1" ht="13.5" customHeight="1">
      <c r="B69" s="161"/>
      <c r="C69" s="138"/>
      <c r="D69" s="128"/>
      <c r="E69" s="128"/>
      <c r="F69" s="128"/>
      <c r="G69" s="167"/>
      <c r="H69" s="86" t="s">
        <v>16</v>
      </c>
      <c r="I69" s="79">
        <f t="shared" si="3"/>
        <v>119.61310803750004</v>
      </c>
      <c r="J69" s="79">
        <v>135.82965515968414</v>
      </c>
      <c r="K69" s="79">
        <f t="shared" si="0"/>
        <v>139.90454481447466</v>
      </c>
      <c r="L69" s="79">
        <f t="shared" si="1"/>
        <v>167.88545377736958</v>
      </c>
      <c r="M69" s="9"/>
      <c r="N69" s="8">
        <v>98.406</v>
      </c>
      <c r="O69" s="16"/>
      <c r="P69" s="17"/>
    </row>
    <row r="70" spans="2:16" s="10" customFormat="1" ht="10.5" customHeight="1">
      <c r="B70" s="161"/>
      <c r="C70" s="138"/>
      <c r="D70" s="128"/>
      <c r="E70" s="128"/>
      <c r="F70" s="128"/>
      <c r="G70" s="167"/>
      <c r="H70" s="86" t="s">
        <v>85</v>
      </c>
      <c r="I70" s="79">
        <f t="shared" si="3"/>
        <v>82.409500490625</v>
      </c>
      <c r="J70" s="79">
        <v>93.5821685196415</v>
      </c>
      <c r="K70" s="79">
        <f t="shared" si="0"/>
        <v>96.38963357523075</v>
      </c>
      <c r="L70" s="79">
        <f t="shared" si="1"/>
        <v>115.6675602902769</v>
      </c>
      <c r="M70" s="9"/>
      <c r="N70" s="8">
        <v>67.79849999999999</v>
      </c>
      <c r="O70" s="16"/>
      <c r="P70" s="17"/>
    </row>
    <row r="71" spans="2:16" s="10" customFormat="1" ht="11.25" customHeight="1">
      <c r="B71" s="161"/>
      <c r="C71" s="139"/>
      <c r="D71" s="128"/>
      <c r="E71" s="128"/>
      <c r="F71" s="128"/>
      <c r="G71" s="167"/>
      <c r="H71" s="86" t="s">
        <v>103</v>
      </c>
      <c r="I71" s="79">
        <f t="shared" si="3"/>
        <v>112.86157857187504</v>
      </c>
      <c r="J71" s="79">
        <v>128.162787086757</v>
      </c>
      <c r="K71" s="79">
        <f t="shared" si="0"/>
        <v>132.0076706993597</v>
      </c>
      <c r="L71" s="79">
        <f t="shared" si="1"/>
        <v>158.40920483923162</v>
      </c>
      <c r="M71" s="9"/>
      <c r="N71" s="8">
        <v>92.85150000000002</v>
      </c>
      <c r="O71" s="16"/>
      <c r="P71" s="17"/>
    </row>
    <row r="72" spans="2:16" s="10" customFormat="1" ht="41.25" customHeight="1">
      <c r="B72" s="80">
        <v>8</v>
      </c>
      <c r="C72" s="57" t="s">
        <v>132</v>
      </c>
      <c r="D72" s="57" t="s">
        <v>133</v>
      </c>
      <c r="E72" s="57"/>
      <c r="F72" s="57">
        <v>28.8</v>
      </c>
      <c r="G72" s="81" t="s">
        <v>13</v>
      </c>
      <c r="H72" s="82" t="s">
        <v>14</v>
      </c>
      <c r="I72" s="83">
        <v>63.97</v>
      </c>
      <c r="J72" s="83">
        <v>72.64273275</v>
      </c>
      <c r="K72" s="83">
        <f t="shared" si="0"/>
        <v>74.8220147325</v>
      </c>
      <c r="L72" s="83">
        <f t="shared" si="1"/>
        <v>89.786417679</v>
      </c>
      <c r="M72" s="9"/>
      <c r="N72" s="8"/>
      <c r="O72" s="16"/>
      <c r="P72" s="17"/>
    </row>
    <row r="73" spans="2:14" ht="10.5" customHeight="1">
      <c r="B73" s="4" t="s">
        <v>33</v>
      </c>
      <c r="C73" s="4"/>
      <c r="D73" s="62"/>
      <c r="E73" s="62"/>
      <c r="F73" s="62"/>
      <c r="G73" s="63"/>
      <c r="H73" s="85"/>
      <c r="I73" s="101"/>
      <c r="J73" s="101"/>
      <c r="K73" s="101"/>
      <c r="L73" s="101"/>
      <c r="M73" s="20"/>
      <c r="N73" s="84"/>
    </row>
    <row r="74" spans="2:16" ht="12" customHeight="1">
      <c r="B74" s="165">
        <v>9</v>
      </c>
      <c r="C74" s="137" t="s">
        <v>34</v>
      </c>
      <c r="D74" s="123" t="s">
        <v>35</v>
      </c>
      <c r="E74" s="123"/>
      <c r="F74" s="137">
        <v>16.5</v>
      </c>
      <c r="G74" s="177" t="s">
        <v>13</v>
      </c>
      <c r="H74" s="86" t="s">
        <v>14</v>
      </c>
      <c r="I74" s="79">
        <f>48.68*1.05*1.05*1.05</f>
        <v>56.35318500000001</v>
      </c>
      <c r="J74" s="79">
        <v>63.99326805637502</v>
      </c>
      <c r="K74" s="79">
        <f aca="true" t="shared" si="4" ref="K74:K137">J74*1.03</f>
        <v>65.91306609806628</v>
      </c>
      <c r="L74" s="79">
        <f aca="true" t="shared" si="5" ref="L74:L143">K74*1.2</f>
        <v>79.09567931767954</v>
      </c>
      <c r="M74" s="9"/>
      <c r="N74" s="8">
        <v>48.678000000000004</v>
      </c>
      <c r="P74" s="17"/>
    </row>
    <row r="75" spans="2:18" ht="12" customHeight="1">
      <c r="B75" s="166"/>
      <c r="C75" s="138"/>
      <c r="D75" s="124"/>
      <c r="E75" s="124"/>
      <c r="F75" s="138"/>
      <c r="G75" s="180"/>
      <c r="H75" s="86" t="s">
        <v>36</v>
      </c>
      <c r="I75" s="79">
        <f>56.53*1.05*1.05*1.05</f>
        <v>65.44054125000001</v>
      </c>
      <c r="J75" s="79">
        <v>74.31264262996876</v>
      </c>
      <c r="K75" s="79">
        <f t="shared" si="4"/>
        <v>76.54202190886782</v>
      </c>
      <c r="L75" s="79">
        <f t="shared" si="5"/>
        <v>91.85042629064138</v>
      </c>
      <c r="M75" s="9"/>
      <c r="N75" s="8">
        <v>56.532000000000004</v>
      </c>
      <c r="P75" s="17"/>
      <c r="R75" s="19"/>
    </row>
    <row r="76" spans="2:16" ht="12" customHeight="1">
      <c r="B76" s="166"/>
      <c r="C76" s="138"/>
      <c r="D76" s="124"/>
      <c r="E76" s="124"/>
      <c r="F76" s="138"/>
      <c r="G76" s="180"/>
      <c r="H76" s="86" t="s">
        <v>15</v>
      </c>
      <c r="I76" s="79">
        <f>58.33*1.05*1.05*1.05</f>
        <v>67.52426625</v>
      </c>
      <c r="J76" s="79">
        <v>76.67886864684375</v>
      </c>
      <c r="K76" s="79">
        <f t="shared" si="4"/>
        <v>78.97923470624907</v>
      </c>
      <c r="L76" s="79">
        <f t="shared" si="5"/>
        <v>94.77508164749888</v>
      </c>
      <c r="M76" s="9"/>
      <c r="N76" s="8">
        <v>58.33800000000001</v>
      </c>
      <c r="P76" s="17"/>
    </row>
    <row r="77" spans="2:16" ht="12" customHeight="1">
      <c r="B77" s="166"/>
      <c r="C77" s="138"/>
      <c r="D77" s="124"/>
      <c r="E77" s="124"/>
      <c r="F77" s="138"/>
      <c r="G77" s="180"/>
      <c r="H77" s="86" t="s">
        <v>127</v>
      </c>
      <c r="I77" s="79"/>
      <c r="J77" s="79">
        <v>80.517675</v>
      </c>
      <c r="K77" s="79">
        <f t="shared" si="4"/>
        <v>82.93320525</v>
      </c>
      <c r="L77" s="79">
        <f t="shared" si="5"/>
        <v>99.5198463</v>
      </c>
      <c r="M77" s="9"/>
      <c r="N77" s="8"/>
      <c r="P77" s="17"/>
    </row>
    <row r="78" spans="2:16" ht="12" customHeight="1">
      <c r="B78" s="166"/>
      <c r="C78" s="138"/>
      <c r="D78" s="124"/>
      <c r="E78" s="124"/>
      <c r="F78" s="138"/>
      <c r="G78" s="180"/>
      <c r="H78" s="86" t="s">
        <v>136</v>
      </c>
      <c r="I78" s="79"/>
      <c r="J78" s="79">
        <v>80.517675</v>
      </c>
      <c r="K78" s="79">
        <f t="shared" si="4"/>
        <v>82.93320525</v>
      </c>
      <c r="L78" s="79">
        <f t="shared" si="5"/>
        <v>99.5198463</v>
      </c>
      <c r="M78" s="9"/>
      <c r="N78" s="8"/>
      <c r="P78" s="17"/>
    </row>
    <row r="79" spans="2:16" ht="12" customHeight="1">
      <c r="B79" s="166"/>
      <c r="C79" s="138"/>
      <c r="D79" s="124"/>
      <c r="E79" s="124"/>
      <c r="F79" s="138"/>
      <c r="G79" s="180"/>
      <c r="H79" s="86" t="s">
        <v>37</v>
      </c>
      <c r="I79" s="79">
        <f>65.04*1.05*1.05*1.05</f>
        <v>75.29193000000002</v>
      </c>
      <c r="J79" s="79">
        <v>85.49963340975003</v>
      </c>
      <c r="K79" s="79">
        <f t="shared" si="4"/>
        <v>88.06462241204254</v>
      </c>
      <c r="L79" s="79">
        <f t="shared" si="5"/>
        <v>105.67754689445104</v>
      </c>
      <c r="M79" s="9"/>
      <c r="N79" s="8">
        <v>65.037</v>
      </c>
      <c r="P79" s="17"/>
    </row>
    <row r="80" spans="2:16" ht="12" customHeight="1">
      <c r="B80" s="166"/>
      <c r="C80" s="138"/>
      <c r="D80" s="124"/>
      <c r="E80" s="124"/>
      <c r="F80" s="138"/>
      <c r="G80" s="180"/>
      <c r="H80" s="86" t="s">
        <v>137</v>
      </c>
      <c r="I80" s="79"/>
      <c r="J80" s="79">
        <v>89.77531500000002</v>
      </c>
      <c r="K80" s="79">
        <f t="shared" si="4"/>
        <v>92.46857445000002</v>
      </c>
      <c r="L80" s="79">
        <f t="shared" si="5"/>
        <v>110.96228934000003</v>
      </c>
      <c r="M80" s="9"/>
      <c r="N80" s="8"/>
      <c r="P80" s="17"/>
    </row>
    <row r="81" spans="2:16" ht="12" customHeight="1">
      <c r="B81" s="166"/>
      <c r="C81" s="138"/>
      <c r="D81" s="124"/>
      <c r="E81" s="124"/>
      <c r="F81" s="138"/>
      <c r="G81" s="180"/>
      <c r="H81" s="86" t="s">
        <v>131</v>
      </c>
      <c r="I81" s="79"/>
      <c r="J81" s="79">
        <v>89.77531500000002</v>
      </c>
      <c r="K81" s="79">
        <f t="shared" si="4"/>
        <v>92.46857445000002</v>
      </c>
      <c r="L81" s="79">
        <f t="shared" si="5"/>
        <v>110.96228934000003</v>
      </c>
      <c r="M81" s="9"/>
      <c r="N81" s="8"/>
      <c r="P81" s="17"/>
    </row>
    <row r="82" spans="2:16" ht="12" customHeight="1">
      <c r="B82" s="166"/>
      <c r="C82" s="138"/>
      <c r="D82" s="124"/>
      <c r="E82" s="124"/>
      <c r="F82" s="138"/>
      <c r="G82" s="180"/>
      <c r="H82" s="86" t="s">
        <v>118</v>
      </c>
      <c r="I82" s="79">
        <f aca="true" t="shared" si="6" ref="I82:I93">$N82*1.05*1.05*1.05*1.05</f>
        <v>74.80225462500002</v>
      </c>
      <c r="J82" s="79">
        <v>84.94357029578441</v>
      </c>
      <c r="K82" s="79">
        <f t="shared" si="4"/>
        <v>87.49187740465794</v>
      </c>
      <c r="L82" s="79">
        <f t="shared" si="5"/>
        <v>104.99025288558953</v>
      </c>
      <c r="M82" s="9"/>
      <c r="N82" s="8">
        <v>61.54</v>
      </c>
      <c r="P82" s="17"/>
    </row>
    <row r="83" spans="2:16" ht="12" customHeight="1">
      <c r="B83" s="166"/>
      <c r="C83" s="138"/>
      <c r="D83" s="124"/>
      <c r="E83" s="124"/>
      <c r="F83" s="138"/>
      <c r="G83" s="180"/>
      <c r="H83" s="86" t="s">
        <v>108</v>
      </c>
      <c r="I83" s="79">
        <f t="shared" si="6"/>
        <v>81.26084708437503</v>
      </c>
      <c r="J83" s="79">
        <v>92.27778642783919</v>
      </c>
      <c r="K83" s="79">
        <f t="shared" si="4"/>
        <v>95.04612002067437</v>
      </c>
      <c r="L83" s="79">
        <f t="shared" si="5"/>
        <v>114.05534402480923</v>
      </c>
      <c r="M83" s="9"/>
      <c r="N83" s="8">
        <v>66.85350000000001</v>
      </c>
      <c r="P83" s="17"/>
    </row>
    <row r="84" spans="2:16" ht="12" customHeight="1">
      <c r="B84" s="166"/>
      <c r="C84" s="138"/>
      <c r="D84" s="124"/>
      <c r="E84" s="124"/>
      <c r="F84" s="138"/>
      <c r="G84" s="180"/>
      <c r="H84" s="86" t="s">
        <v>16</v>
      </c>
      <c r="I84" s="79">
        <f t="shared" si="6"/>
        <v>106.28872852500002</v>
      </c>
      <c r="J84" s="79">
        <v>120.69882289477692</v>
      </c>
      <c r="K84" s="79">
        <f t="shared" si="4"/>
        <v>124.31978758162023</v>
      </c>
      <c r="L84" s="79">
        <f t="shared" si="5"/>
        <v>149.18374509794427</v>
      </c>
      <c r="M84" s="9"/>
      <c r="N84" s="8">
        <v>87.444</v>
      </c>
      <c r="P84" s="17"/>
    </row>
    <row r="85" spans="2:16" ht="12" customHeight="1">
      <c r="B85" s="166"/>
      <c r="C85" s="138"/>
      <c r="D85" s="124"/>
      <c r="E85" s="124"/>
      <c r="F85" s="138"/>
      <c r="G85" s="180"/>
      <c r="H85" s="86" t="s">
        <v>84</v>
      </c>
      <c r="I85" s="79">
        <f t="shared" si="6"/>
        <v>78.45302764687501</v>
      </c>
      <c r="J85" s="79">
        <v>89.08929687010011</v>
      </c>
      <c r="K85" s="79">
        <f t="shared" si="4"/>
        <v>91.76197577620312</v>
      </c>
      <c r="L85" s="79">
        <f t="shared" si="5"/>
        <v>110.11437093144373</v>
      </c>
      <c r="M85" s="9"/>
      <c r="N85" s="8">
        <v>64.5435</v>
      </c>
      <c r="P85" s="17"/>
    </row>
    <row r="86" spans="2:16" ht="12" customHeight="1">
      <c r="B86" s="166"/>
      <c r="C86" s="138"/>
      <c r="D86" s="124"/>
      <c r="E86" s="124"/>
      <c r="F86" s="138"/>
      <c r="G86" s="180"/>
      <c r="H86" s="86" t="s">
        <v>38</v>
      </c>
      <c r="I86" s="79">
        <f t="shared" si="6"/>
        <v>113.86984100625003</v>
      </c>
      <c r="J86" s="79">
        <v>129.30774470067237</v>
      </c>
      <c r="K86" s="79">
        <f t="shared" si="4"/>
        <v>133.18697704169256</v>
      </c>
      <c r="L86" s="79">
        <f t="shared" si="5"/>
        <v>159.82437245003106</v>
      </c>
      <c r="M86" s="9"/>
      <c r="N86" s="8">
        <v>93.681</v>
      </c>
      <c r="P86" s="17"/>
    </row>
    <row r="87" spans="2:16" ht="12" customHeight="1">
      <c r="B87" s="166"/>
      <c r="C87" s="138"/>
      <c r="D87" s="124"/>
      <c r="E87" s="124"/>
      <c r="F87" s="138"/>
      <c r="G87" s="180"/>
      <c r="H87" s="86" t="s">
        <v>88</v>
      </c>
      <c r="I87" s="79">
        <f t="shared" si="6"/>
        <v>87.310421690625</v>
      </c>
      <c r="J87" s="79">
        <v>99.1475321113315</v>
      </c>
      <c r="K87" s="79">
        <f t="shared" si="4"/>
        <v>102.12195807467145</v>
      </c>
      <c r="L87" s="79">
        <f t="shared" si="5"/>
        <v>122.54634968960573</v>
      </c>
      <c r="M87" s="9"/>
      <c r="N87" s="8">
        <v>71.8305</v>
      </c>
      <c r="P87" s="17"/>
    </row>
    <row r="88" spans="2:16" ht="12" customHeight="1">
      <c r="B88" s="166"/>
      <c r="C88" s="138"/>
      <c r="D88" s="124"/>
      <c r="E88" s="124"/>
      <c r="F88" s="138"/>
      <c r="G88" s="180"/>
      <c r="H88" s="86" t="s">
        <v>89</v>
      </c>
      <c r="I88" s="79">
        <f t="shared" si="6"/>
        <v>91.675304634375</v>
      </c>
      <c r="J88" s="79">
        <v>104.1041840601804</v>
      </c>
      <c r="K88" s="79">
        <f t="shared" si="4"/>
        <v>107.22730958198582</v>
      </c>
      <c r="L88" s="79">
        <f t="shared" si="5"/>
        <v>128.67277149838299</v>
      </c>
      <c r="M88" s="9"/>
      <c r="N88" s="8">
        <v>75.4215</v>
      </c>
      <c r="P88" s="17"/>
    </row>
    <row r="89" spans="2:16" ht="12" customHeight="1">
      <c r="B89" s="166"/>
      <c r="C89" s="138"/>
      <c r="D89" s="124"/>
      <c r="E89" s="124"/>
      <c r="F89" s="138"/>
      <c r="G89" s="180"/>
      <c r="H89" s="86" t="s">
        <v>134</v>
      </c>
      <c r="I89" s="79"/>
      <c r="J89" s="79">
        <v>110.31300000000002</v>
      </c>
      <c r="K89" s="79">
        <f t="shared" si="4"/>
        <v>113.62239000000002</v>
      </c>
      <c r="L89" s="79">
        <f t="shared" si="5"/>
        <v>136.34686800000003</v>
      </c>
      <c r="M89" s="9"/>
      <c r="N89" s="8"/>
      <c r="P89" s="17"/>
    </row>
    <row r="90" spans="2:16" ht="12" customHeight="1">
      <c r="B90" s="166"/>
      <c r="C90" s="138"/>
      <c r="D90" s="124"/>
      <c r="E90" s="124"/>
      <c r="F90" s="138"/>
      <c r="G90" s="180"/>
      <c r="H90" s="86" t="s">
        <v>110</v>
      </c>
      <c r="I90" s="79">
        <f t="shared" si="6"/>
        <v>133.43827612500002</v>
      </c>
      <c r="J90" s="79">
        <v>151.5291704106469</v>
      </c>
      <c r="K90" s="79">
        <f t="shared" si="4"/>
        <v>156.07504552296632</v>
      </c>
      <c r="L90" s="79">
        <f t="shared" si="5"/>
        <v>187.29005462755958</v>
      </c>
      <c r="M90" s="9"/>
      <c r="N90" s="8">
        <v>109.78</v>
      </c>
      <c r="P90" s="17"/>
    </row>
    <row r="91" spans="2:18" ht="12" customHeight="1">
      <c r="B91" s="166"/>
      <c r="C91" s="138"/>
      <c r="D91" s="124"/>
      <c r="E91" s="124"/>
      <c r="F91" s="138"/>
      <c r="G91" s="180"/>
      <c r="H91" s="86" t="s">
        <v>107</v>
      </c>
      <c r="I91" s="79">
        <f t="shared" si="6"/>
        <v>111.18964972500002</v>
      </c>
      <c r="J91" s="79">
        <v>126.26418648646693</v>
      </c>
      <c r="K91" s="79">
        <f t="shared" si="4"/>
        <v>130.05211208106093</v>
      </c>
      <c r="L91" s="79">
        <f t="shared" si="5"/>
        <v>156.0625344972731</v>
      </c>
      <c r="M91" s="9"/>
      <c r="N91" s="8">
        <v>91.47600000000001</v>
      </c>
      <c r="P91" s="17"/>
      <c r="R91" s="19"/>
    </row>
    <row r="92" spans="2:16" ht="12" customHeight="1">
      <c r="B92" s="166"/>
      <c r="C92" s="138"/>
      <c r="D92" s="124"/>
      <c r="E92" s="124"/>
      <c r="F92" s="138"/>
      <c r="G92" s="180"/>
      <c r="H92" s="86" t="s">
        <v>90</v>
      </c>
      <c r="I92" s="79">
        <f t="shared" si="6"/>
        <v>116.75423733750003</v>
      </c>
      <c r="J92" s="79">
        <v>132.58319306453163</v>
      </c>
      <c r="K92" s="79">
        <f t="shared" si="4"/>
        <v>136.56068885646758</v>
      </c>
      <c r="L92" s="79">
        <f t="shared" si="5"/>
        <v>163.8728266277611</v>
      </c>
      <c r="M92" s="9"/>
      <c r="N92" s="8">
        <v>96.054</v>
      </c>
      <c r="P92" s="17"/>
    </row>
    <row r="93" spans="2:18" ht="12" customHeight="1">
      <c r="B93" s="164"/>
      <c r="C93" s="164"/>
      <c r="D93" s="163"/>
      <c r="E93" s="163"/>
      <c r="F93" s="164"/>
      <c r="G93" s="164"/>
      <c r="H93" s="86" t="s">
        <v>91</v>
      </c>
      <c r="I93" s="79">
        <f t="shared" si="6"/>
        <v>119.08983259687503</v>
      </c>
      <c r="J93" s="79">
        <v>135.23543665119638</v>
      </c>
      <c r="K93" s="79">
        <f t="shared" si="4"/>
        <v>139.29249975073228</v>
      </c>
      <c r="L93" s="79">
        <f t="shared" si="5"/>
        <v>167.1509997008787</v>
      </c>
      <c r="M93" s="9"/>
      <c r="N93" s="8">
        <v>97.97550000000001</v>
      </c>
      <c r="P93" s="17"/>
      <c r="R93" s="19"/>
    </row>
    <row r="94" spans="2:16" ht="12" customHeight="1">
      <c r="B94" s="156">
        <v>10</v>
      </c>
      <c r="C94" s="137" t="s">
        <v>39</v>
      </c>
      <c r="D94" s="141" t="s">
        <v>40</v>
      </c>
      <c r="E94" s="123"/>
      <c r="F94" s="137">
        <v>16.3</v>
      </c>
      <c r="G94" s="145" t="s">
        <v>13</v>
      </c>
      <c r="H94" s="86" t="s">
        <v>14</v>
      </c>
      <c r="I94" s="79">
        <f>64.37*1.05*1.1</f>
        <v>74.34735000000002</v>
      </c>
      <c r="J94" s="79">
        <v>93.08075865381568</v>
      </c>
      <c r="K94" s="79">
        <f t="shared" si="4"/>
        <v>95.87318141343015</v>
      </c>
      <c r="L94" s="79">
        <f t="shared" si="5"/>
        <v>115.04781769611617</v>
      </c>
      <c r="M94" s="9"/>
      <c r="N94" s="8">
        <v>55.734</v>
      </c>
      <c r="P94" s="17"/>
    </row>
    <row r="95" spans="2:18" ht="12" customHeight="1">
      <c r="B95" s="157"/>
      <c r="C95" s="138"/>
      <c r="D95" s="142"/>
      <c r="E95" s="124"/>
      <c r="F95" s="138"/>
      <c r="G95" s="146"/>
      <c r="H95" s="86" t="s">
        <v>36</v>
      </c>
      <c r="I95" s="79">
        <f>64.75*1.05*1.05*1.05</f>
        <v>74.95621875</v>
      </c>
      <c r="J95" s="79">
        <v>93.84304493800198</v>
      </c>
      <c r="K95" s="79">
        <f t="shared" si="4"/>
        <v>96.65833628614205</v>
      </c>
      <c r="L95" s="79">
        <f t="shared" si="5"/>
        <v>115.99000354337045</v>
      </c>
      <c r="M95" s="9"/>
      <c r="N95" s="8">
        <v>64.7535</v>
      </c>
      <c r="P95" s="17"/>
      <c r="R95" s="19"/>
    </row>
    <row r="96" spans="2:16" ht="12" customHeight="1">
      <c r="B96" s="157"/>
      <c r="C96" s="138"/>
      <c r="D96" s="142"/>
      <c r="E96" s="124"/>
      <c r="F96" s="138"/>
      <c r="G96" s="146"/>
      <c r="H96" s="86" t="s">
        <v>15</v>
      </c>
      <c r="I96" s="79">
        <f>68.15*1.05*1.05*1.05</f>
        <v>78.89214375000002</v>
      </c>
      <c r="J96" s="79">
        <v>98.77071061814418</v>
      </c>
      <c r="K96" s="79">
        <f t="shared" si="4"/>
        <v>101.7338319366885</v>
      </c>
      <c r="L96" s="79">
        <f t="shared" si="5"/>
        <v>122.0805983240262</v>
      </c>
      <c r="M96" s="9"/>
      <c r="N96" s="8">
        <v>68.1555</v>
      </c>
      <c r="P96" s="17"/>
    </row>
    <row r="97" spans="2:16" ht="12" customHeight="1">
      <c r="B97" s="157"/>
      <c r="C97" s="138"/>
      <c r="D97" s="142"/>
      <c r="E97" s="124"/>
      <c r="F97" s="138"/>
      <c r="G97" s="146"/>
      <c r="H97" s="86" t="s">
        <v>37</v>
      </c>
      <c r="I97" s="79">
        <f>79.04*1.05*1.05*1.05</f>
        <v>91.49868000000002</v>
      </c>
      <c r="J97" s="79">
        <v>114.55373392895254</v>
      </c>
      <c r="K97" s="79">
        <f t="shared" si="4"/>
        <v>117.99034594682112</v>
      </c>
      <c r="L97" s="79">
        <f t="shared" si="5"/>
        <v>141.58841513618535</v>
      </c>
      <c r="M97" s="9"/>
      <c r="N97" s="8">
        <v>79.0335</v>
      </c>
      <c r="P97" s="17"/>
    </row>
    <row r="98" spans="2:16" ht="12" customHeight="1">
      <c r="B98" s="157"/>
      <c r="C98" s="138"/>
      <c r="D98" s="142"/>
      <c r="E98" s="124"/>
      <c r="F98" s="138"/>
      <c r="G98" s="146"/>
      <c r="H98" s="86" t="s">
        <v>108</v>
      </c>
      <c r="I98" s="79">
        <f aca="true" t="shared" si="7" ref="I98:I108">$N98*1.05*1.05*1.05*1.05</f>
        <v>101.71964053125001</v>
      </c>
      <c r="J98" s="79">
        <v>127.35008457789236</v>
      </c>
      <c r="K98" s="79">
        <f t="shared" si="4"/>
        <v>131.17058711522913</v>
      </c>
      <c r="L98" s="79">
        <f t="shared" si="5"/>
        <v>157.40470453827496</v>
      </c>
      <c r="M98" s="9"/>
      <c r="N98" s="8">
        <v>83.685</v>
      </c>
      <c r="P98" s="17"/>
    </row>
    <row r="99" spans="2:16" ht="12" customHeight="1">
      <c r="B99" s="157"/>
      <c r="C99" s="138"/>
      <c r="D99" s="142"/>
      <c r="E99" s="124"/>
      <c r="F99" s="138"/>
      <c r="G99" s="146"/>
      <c r="H99" s="86" t="s">
        <v>16</v>
      </c>
      <c r="I99" s="79">
        <f t="shared" si="7"/>
        <v>137.544863990625</v>
      </c>
      <c r="J99" s="79">
        <v>172.2022410910848</v>
      </c>
      <c r="K99" s="79">
        <f t="shared" si="4"/>
        <v>177.36830832381736</v>
      </c>
      <c r="L99" s="79">
        <f t="shared" si="5"/>
        <v>212.84196998858081</v>
      </c>
      <c r="M99" s="9"/>
      <c r="N99" s="8">
        <v>113.1585</v>
      </c>
      <c r="P99" s="17"/>
    </row>
    <row r="100" spans="2:16" ht="12" customHeight="1">
      <c r="B100" s="157"/>
      <c r="C100" s="138"/>
      <c r="D100" s="142"/>
      <c r="E100" s="124"/>
      <c r="F100" s="138"/>
      <c r="G100" s="146"/>
      <c r="H100" s="86" t="s">
        <v>84</v>
      </c>
      <c r="I100" s="79">
        <f t="shared" si="7"/>
        <v>94.38102154687499</v>
      </c>
      <c r="J100" s="79">
        <v>118.16234321875957</v>
      </c>
      <c r="K100" s="79">
        <f t="shared" si="4"/>
        <v>121.70721351532237</v>
      </c>
      <c r="L100" s="79">
        <f t="shared" si="5"/>
        <v>146.04865621838684</v>
      </c>
      <c r="M100" s="9"/>
      <c r="N100" s="8">
        <v>77.6475</v>
      </c>
      <c r="P100" s="17"/>
    </row>
    <row r="101" spans="2:16" ht="12" customHeight="1">
      <c r="B101" s="157"/>
      <c r="C101" s="138"/>
      <c r="D101" s="142"/>
      <c r="E101" s="124"/>
      <c r="F101" s="138"/>
      <c r="G101" s="146"/>
      <c r="H101" s="86" t="s">
        <v>38</v>
      </c>
      <c r="I101" s="79">
        <f t="shared" si="7"/>
        <v>149.18455184062506</v>
      </c>
      <c r="J101" s="79">
        <v>186.77479782070068</v>
      </c>
      <c r="K101" s="79">
        <f t="shared" si="4"/>
        <v>192.3780417553217</v>
      </c>
      <c r="L101" s="79">
        <f t="shared" si="5"/>
        <v>230.85365010638603</v>
      </c>
      <c r="M101" s="9"/>
      <c r="N101" s="8">
        <v>122.73450000000001</v>
      </c>
      <c r="P101" s="17"/>
    </row>
    <row r="102" spans="2:16" ht="12" customHeight="1">
      <c r="B102" s="157"/>
      <c r="C102" s="138"/>
      <c r="D102" s="142"/>
      <c r="E102" s="124"/>
      <c r="F102" s="138"/>
      <c r="G102" s="146"/>
      <c r="H102" s="86" t="s">
        <v>88</v>
      </c>
      <c r="I102" s="79">
        <f t="shared" si="7"/>
        <v>108.77747757187502</v>
      </c>
      <c r="J102" s="79">
        <v>136.1862949632844</v>
      </c>
      <c r="K102" s="79">
        <f t="shared" si="4"/>
        <v>140.27188381218295</v>
      </c>
      <c r="L102" s="79">
        <f t="shared" si="5"/>
        <v>168.32626057461954</v>
      </c>
      <c r="M102" s="9"/>
      <c r="N102" s="8">
        <v>89.4915</v>
      </c>
      <c r="P102" s="17"/>
    </row>
    <row r="103" spans="2:16" ht="12" customHeight="1">
      <c r="B103" s="157"/>
      <c r="C103" s="138"/>
      <c r="D103" s="142"/>
      <c r="E103" s="124"/>
      <c r="F103" s="138"/>
      <c r="G103" s="146"/>
      <c r="H103" s="86" t="s">
        <v>89</v>
      </c>
      <c r="I103" s="79">
        <f t="shared" si="7"/>
        <v>111.16412409375002</v>
      </c>
      <c r="J103" s="79">
        <v>139.17430824008062</v>
      </c>
      <c r="K103" s="79">
        <f t="shared" si="4"/>
        <v>143.34953748728304</v>
      </c>
      <c r="L103" s="79">
        <f t="shared" si="5"/>
        <v>172.01944498473964</v>
      </c>
      <c r="M103" s="9"/>
      <c r="N103" s="8">
        <v>91.455</v>
      </c>
      <c r="P103" s="17"/>
    </row>
    <row r="104" spans="2:16" ht="12" customHeight="1">
      <c r="B104" s="157"/>
      <c r="C104" s="138"/>
      <c r="D104" s="142"/>
      <c r="E104" s="124"/>
      <c r="F104" s="138"/>
      <c r="G104" s="146"/>
      <c r="H104" s="86" t="s">
        <v>134</v>
      </c>
      <c r="I104" s="79"/>
      <c r="J104" s="79">
        <v>155.07752872500004</v>
      </c>
      <c r="K104" s="79">
        <f t="shared" si="4"/>
        <v>159.72985458675004</v>
      </c>
      <c r="L104" s="79">
        <f t="shared" si="5"/>
        <v>191.67582550410003</v>
      </c>
      <c r="M104" s="9"/>
      <c r="N104" s="8"/>
      <c r="P104" s="17"/>
    </row>
    <row r="105" spans="2:16" ht="12" customHeight="1">
      <c r="B105" s="157"/>
      <c r="C105" s="138"/>
      <c r="D105" s="142"/>
      <c r="E105" s="124"/>
      <c r="F105" s="138"/>
      <c r="G105" s="146"/>
      <c r="H105" s="86" t="s">
        <v>110</v>
      </c>
      <c r="I105" s="79">
        <f t="shared" si="7"/>
        <v>160.64130600000001</v>
      </c>
      <c r="J105" s="79">
        <v>201.11832679469742</v>
      </c>
      <c r="K105" s="79">
        <f t="shared" si="4"/>
        <v>207.15187659853837</v>
      </c>
      <c r="L105" s="79">
        <f t="shared" si="5"/>
        <v>248.58225191824602</v>
      </c>
      <c r="M105" s="9"/>
      <c r="N105" s="8">
        <v>132.16</v>
      </c>
      <c r="P105" s="17"/>
    </row>
    <row r="106" spans="2:18" ht="12" customHeight="1">
      <c r="B106" s="157"/>
      <c r="C106" s="138"/>
      <c r="D106" s="142"/>
      <c r="E106" s="124"/>
      <c r="F106" s="138"/>
      <c r="G106" s="146"/>
      <c r="H106" s="86" t="s">
        <v>107</v>
      </c>
      <c r="I106" s="79">
        <f t="shared" si="7"/>
        <v>133.86917309062503</v>
      </c>
      <c r="J106" s="79">
        <v>167.6003810712062</v>
      </c>
      <c r="K106" s="79">
        <f t="shared" si="4"/>
        <v>172.62839250334238</v>
      </c>
      <c r="L106" s="79">
        <f t="shared" si="5"/>
        <v>207.15407100401086</v>
      </c>
      <c r="M106" s="9"/>
      <c r="N106" s="8">
        <v>110.1345</v>
      </c>
      <c r="P106" s="17"/>
      <c r="R106" s="19"/>
    </row>
    <row r="107" spans="2:16" ht="12" customHeight="1">
      <c r="B107" s="157"/>
      <c r="C107" s="138"/>
      <c r="D107" s="142"/>
      <c r="E107" s="124"/>
      <c r="F107" s="138"/>
      <c r="G107" s="146"/>
      <c r="H107" s="86" t="s">
        <v>90</v>
      </c>
      <c r="I107" s="79">
        <f t="shared" si="7"/>
        <v>140.55688847812505</v>
      </c>
      <c r="J107" s="79">
        <v>175.97320971848544</v>
      </c>
      <c r="K107" s="79">
        <f t="shared" si="4"/>
        <v>181.25240601004</v>
      </c>
      <c r="L107" s="79">
        <f t="shared" si="5"/>
        <v>217.502887212048</v>
      </c>
      <c r="M107" s="9"/>
      <c r="N107" s="8">
        <v>115.6365</v>
      </c>
      <c r="P107" s="17"/>
    </row>
    <row r="108" spans="2:18" ht="12" customHeight="1">
      <c r="B108" s="158"/>
      <c r="C108" s="139"/>
      <c r="D108" s="143"/>
      <c r="E108" s="125"/>
      <c r="F108" s="139"/>
      <c r="G108" s="147"/>
      <c r="H108" s="86" t="s">
        <v>91</v>
      </c>
      <c r="I108" s="79">
        <f t="shared" si="7"/>
        <v>140.55688847812505</v>
      </c>
      <c r="J108" s="79">
        <v>175.97320971848544</v>
      </c>
      <c r="K108" s="79">
        <f t="shared" si="4"/>
        <v>181.25240601004</v>
      </c>
      <c r="L108" s="79">
        <f t="shared" si="5"/>
        <v>217.502887212048</v>
      </c>
      <c r="M108" s="9"/>
      <c r="N108" s="8">
        <v>115.6365</v>
      </c>
      <c r="P108" s="17"/>
      <c r="R108" s="19"/>
    </row>
    <row r="109" spans="2:16" ht="10.5" customHeight="1">
      <c r="B109" s="156">
        <v>11</v>
      </c>
      <c r="C109" s="137" t="s">
        <v>41</v>
      </c>
      <c r="D109" s="123" t="s">
        <v>42</v>
      </c>
      <c r="E109" s="123"/>
      <c r="F109" s="137">
        <v>8.5</v>
      </c>
      <c r="G109" s="145" t="s">
        <v>19</v>
      </c>
      <c r="H109" s="86" t="s">
        <v>14</v>
      </c>
      <c r="I109" s="79">
        <f>34.55*1.05*1.05</f>
        <v>38.091375</v>
      </c>
      <c r="J109" s="79">
        <v>45.41839382390625</v>
      </c>
      <c r="K109" s="79">
        <f t="shared" si="4"/>
        <v>46.780945638623436</v>
      </c>
      <c r="L109" s="79">
        <f t="shared" si="5"/>
        <v>56.13713476634812</v>
      </c>
      <c r="M109" s="9"/>
      <c r="N109" s="8">
        <v>28.4865</v>
      </c>
      <c r="P109" s="17"/>
    </row>
    <row r="110" spans="2:18" ht="12" customHeight="1">
      <c r="B110" s="157"/>
      <c r="C110" s="138"/>
      <c r="D110" s="124"/>
      <c r="E110" s="124"/>
      <c r="F110" s="138"/>
      <c r="G110" s="146"/>
      <c r="H110" s="86" t="s">
        <v>36</v>
      </c>
      <c r="I110" s="79">
        <f>36.28*1.05*1.05</f>
        <v>39.9987</v>
      </c>
      <c r="J110" s="79">
        <v>47.69259994012501</v>
      </c>
      <c r="K110" s="79">
        <f t="shared" si="4"/>
        <v>49.12337793832876</v>
      </c>
      <c r="L110" s="79">
        <f t="shared" si="5"/>
        <v>58.94805352599451</v>
      </c>
      <c r="M110" s="9"/>
      <c r="N110" s="8">
        <v>30.796499999999998</v>
      </c>
      <c r="P110" s="17"/>
      <c r="R110" s="19"/>
    </row>
    <row r="111" spans="2:16" ht="12" customHeight="1">
      <c r="B111" s="157"/>
      <c r="C111" s="138"/>
      <c r="D111" s="124"/>
      <c r="E111" s="124"/>
      <c r="F111" s="138"/>
      <c r="G111" s="146"/>
      <c r="H111" s="86" t="s">
        <v>15</v>
      </c>
      <c r="I111" s="79">
        <f>40.02*1.05*1.05</f>
        <v>44.12205000000001</v>
      </c>
      <c r="J111" s="79">
        <v>52.609091775187515</v>
      </c>
      <c r="K111" s="79">
        <f t="shared" si="4"/>
        <v>54.18736452844314</v>
      </c>
      <c r="L111" s="79">
        <f t="shared" si="5"/>
        <v>65.02483743413177</v>
      </c>
      <c r="M111" s="9"/>
      <c r="N111" s="8">
        <v>33.0015</v>
      </c>
      <c r="P111" s="17"/>
    </row>
    <row r="112" spans="2:16" ht="12" customHeight="1">
      <c r="B112" s="157"/>
      <c r="C112" s="138"/>
      <c r="D112" s="124"/>
      <c r="E112" s="124"/>
      <c r="F112" s="138"/>
      <c r="G112" s="146"/>
      <c r="H112" s="86" t="s">
        <v>127</v>
      </c>
      <c r="I112" s="79">
        <f>40.02*1.05*1.1</f>
        <v>46.22310000000001</v>
      </c>
      <c r="J112" s="79">
        <v>57.87000095270626</v>
      </c>
      <c r="K112" s="79">
        <f t="shared" si="4"/>
        <v>59.606100981287454</v>
      </c>
      <c r="L112" s="79">
        <f t="shared" si="5"/>
        <v>71.52732117754495</v>
      </c>
      <c r="M112" s="9"/>
      <c r="N112" s="8"/>
      <c r="P112" s="17"/>
    </row>
    <row r="113" spans="2:16" ht="12" customHeight="1">
      <c r="B113" s="157"/>
      <c r="C113" s="138"/>
      <c r="D113" s="124"/>
      <c r="E113" s="124"/>
      <c r="F113" s="138"/>
      <c r="G113" s="146"/>
      <c r="H113" s="86" t="s">
        <v>136</v>
      </c>
      <c r="I113" s="79"/>
      <c r="J113" s="79">
        <v>55.23436800000001</v>
      </c>
      <c r="K113" s="79">
        <f t="shared" si="4"/>
        <v>56.89139904000001</v>
      </c>
      <c r="L113" s="79">
        <f t="shared" si="5"/>
        <v>68.26967884800001</v>
      </c>
      <c r="M113" s="9"/>
      <c r="N113" s="8"/>
      <c r="P113" s="17"/>
    </row>
    <row r="114" spans="2:16" ht="12" customHeight="1">
      <c r="B114" s="157"/>
      <c r="C114" s="138"/>
      <c r="D114" s="124"/>
      <c r="E114" s="124"/>
      <c r="F114" s="138"/>
      <c r="G114" s="146"/>
      <c r="H114" s="86" t="s">
        <v>37</v>
      </c>
      <c r="I114" s="79">
        <f>$N114*1.05*1.05*1.05*1.05</f>
        <v>43.62330380625002</v>
      </c>
      <c r="J114" s="79">
        <v>56.82417300000001</v>
      </c>
      <c r="K114" s="79">
        <f t="shared" si="4"/>
        <v>58.528898190000014</v>
      </c>
      <c r="L114" s="79">
        <f t="shared" si="5"/>
        <v>70.23467782800002</v>
      </c>
      <c r="M114" s="9"/>
      <c r="N114" s="8">
        <v>35.889</v>
      </c>
      <c r="P114" s="17"/>
    </row>
    <row r="115" spans="2:16" ht="12" customHeight="1">
      <c r="B115" s="157"/>
      <c r="C115" s="138"/>
      <c r="D115" s="124"/>
      <c r="E115" s="124"/>
      <c r="F115" s="138"/>
      <c r="G115" s="146"/>
      <c r="H115" s="86" t="s">
        <v>138</v>
      </c>
      <c r="I115" s="79"/>
      <c r="J115" s="79">
        <v>59.66311050000001</v>
      </c>
      <c r="K115" s="79">
        <f t="shared" si="4"/>
        <v>61.45300381500001</v>
      </c>
      <c r="L115" s="79">
        <f t="shared" si="5"/>
        <v>73.743604578</v>
      </c>
      <c r="M115" s="9"/>
      <c r="N115" s="8"/>
      <c r="P115" s="17"/>
    </row>
    <row r="116" spans="2:16" ht="12" customHeight="1">
      <c r="B116" s="157"/>
      <c r="C116" s="138"/>
      <c r="D116" s="124"/>
      <c r="E116" s="124"/>
      <c r="F116" s="138"/>
      <c r="G116" s="146"/>
      <c r="H116" s="86" t="s">
        <v>131</v>
      </c>
      <c r="I116" s="79">
        <f>41.55*1.1</f>
        <v>45.705</v>
      </c>
      <c r="J116" s="79">
        <v>57.221354550937505</v>
      </c>
      <c r="K116" s="79">
        <f t="shared" si="4"/>
        <v>58.93799518746563</v>
      </c>
      <c r="L116" s="79">
        <f t="shared" si="5"/>
        <v>70.72559422495875</v>
      </c>
      <c r="M116" s="9"/>
      <c r="N116" s="8"/>
      <c r="P116" s="17"/>
    </row>
    <row r="117" spans="2:16" ht="12" customHeight="1">
      <c r="B117" s="157"/>
      <c r="C117" s="138"/>
      <c r="D117" s="124"/>
      <c r="E117" s="124"/>
      <c r="F117" s="138"/>
      <c r="G117" s="146"/>
      <c r="H117" s="86" t="s">
        <v>108</v>
      </c>
      <c r="I117" s="79">
        <f>$N117*1.05*1.05*1.05*1.05</f>
        <v>46.99268713125001</v>
      </c>
      <c r="J117" s="79">
        <v>56.0319067235227</v>
      </c>
      <c r="K117" s="79">
        <f t="shared" si="4"/>
        <v>57.71286392522838</v>
      </c>
      <c r="L117" s="79">
        <f t="shared" si="5"/>
        <v>69.25543671027405</v>
      </c>
      <c r="M117" s="9"/>
      <c r="N117" s="8">
        <v>38.661</v>
      </c>
      <c r="P117" s="17"/>
    </row>
    <row r="118" spans="2:16" ht="12" customHeight="1">
      <c r="B118" s="157"/>
      <c r="C118" s="138"/>
      <c r="D118" s="124"/>
      <c r="E118" s="124"/>
      <c r="F118" s="138"/>
      <c r="G118" s="146"/>
      <c r="H118" s="86" t="s">
        <v>16</v>
      </c>
      <c r="I118" s="79">
        <f>$N118*1.05*1.05*1.05*1.05</f>
        <v>59.43643236562502</v>
      </c>
      <c r="J118" s="79">
        <v>74.41271566866311</v>
      </c>
      <c r="K118" s="79">
        <f t="shared" si="4"/>
        <v>76.645097138723</v>
      </c>
      <c r="L118" s="79">
        <f t="shared" si="5"/>
        <v>91.9741165664676</v>
      </c>
      <c r="M118" s="9"/>
      <c r="N118" s="8">
        <v>48.898500000000006</v>
      </c>
      <c r="P118" s="17"/>
    </row>
    <row r="119" spans="2:16" ht="12" customHeight="1">
      <c r="B119" s="157"/>
      <c r="C119" s="138"/>
      <c r="D119" s="124"/>
      <c r="E119" s="124"/>
      <c r="F119" s="138"/>
      <c r="G119" s="146"/>
      <c r="H119" s="86" t="s">
        <v>84</v>
      </c>
      <c r="I119" s="79">
        <f>$N119*1.05*1.05*1.05*1.05</f>
        <v>43.67435506875</v>
      </c>
      <c r="J119" s="79">
        <v>54.679045097308354</v>
      </c>
      <c r="K119" s="79">
        <f t="shared" si="4"/>
        <v>56.31941645022761</v>
      </c>
      <c r="L119" s="79">
        <f t="shared" si="5"/>
        <v>67.58329974027312</v>
      </c>
      <c r="M119" s="9"/>
      <c r="N119" s="8">
        <v>35.931</v>
      </c>
      <c r="P119" s="17"/>
    </row>
    <row r="120" spans="2:16" ht="12" customHeight="1">
      <c r="B120" s="157"/>
      <c r="C120" s="138"/>
      <c r="D120" s="124"/>
      <c r="E120" s="124"/>
      <c r="F120" s="138"/>
      <c r="G120" s="146"/>
      <c r="H120" s="86" t="s">
        <v>38</v>
      </c>
      <c r="I120" s="79">
        <f>$N120*1.05*1.05*1.05*1.05</f>
        <v>62.907918215625</v>
      </c>
      <c r="J120" s="79">
        <v>78.76348200000001</v>
      </c>
      <c r="K120" s="79">
        <f t="shared" si="4"/>
        <v>81.12638646</v>
      </c>
      <c r="L120" s="79">
        <f t="shared" si="5"/>
        <v>97.35166375200001</v>
      </c>
      <c r="M120" s="9"/>
      <c r="N120" s="8">
        <v>51.7545</v>
      </c>
      <c r="P120" s="17"/>
    </row>
    <row r="121" spans="2:16" ht="12" customHeight="1">
      <c r="B121" s="157"/>
      <c r="C121" s="138"/>
      <c r="D121" s="124"/>
      <c r="E121" s="124"/>
      <c r="F121" s="138"/>
      <c r="G121" s="146"/>
      <c r="H121" s="86" t="s">
        <v>88</v>
      </c>
      <c r="I121" s="79">
        <f>$N121*1.05*1.05*1.05*1.05</f>
        <v>49.200654234375016</v>
      </c>
      <c r="J121" s="79">
        <v>61.59781380775096</v>
      </c>
      <c r="K121" s="79">
        <f t="shared" si="4"/>
        <v>63.44574822198349</v>
      </c>
      <c r="L121" s="79">
        <f t="shared" si="5"/>
        <v>76.13489786638019</v>
      </c>
      <c r="M121" s="9"/>
      <c r="N121" s="8">
        <v>40.4775</v>
      </c>
      <c r="P121" s="17"/>
    </row>
    <row r="122" spans="2:16" ht="12" customHeight="1">
      <c r="B122" s="157"/>
      <c r="C122" s="138"/>
      <c r="D122" s="124"/>
      <c r="E122" s="124"/>
      <c r="F122" s="138"/>
      <c r="G122" s="146"/>
      <c r="H122" s="86" t="s">
        <v>89</v>
      </c>
      <c r="I122" s="79">
        <f>$N122*1.05*1.05*1.05*1.1</f>
        <v>54.070580025000005</v>
      </c>
      <c r="J122" s="79">
        <v>67.69482180035807</v>
      </c>
      <c r="K122" s="79">
        <f t="shared" si="4"/>
        <v>69.72566645436882</v>
      </c>
      <c r="L122" s="79">
        <f t="shared" si="5"/>
        <v>83.67079974524258</v>
      </c>
      <c r="M122" s="9"/>
      <c r="N122" s="8">
        <v>42.461999999999996</v>
      </c>
      <c r="P122" s="17"/>
    </row>
    <row r="123" spans="2:16" ht="12" customHeight="1">
      <c r="B123" s="157"/>
      <c r="C123" s="138"/>
      <c r="D123" s="124"/>
      <c r="E123" s="124"/>
      <c r="F123" s="138"/>
      <c r="G123" s="146"/>
      <c r="H123" s="86" t="s">
        <v>110</v>
      </c>
      <c r="I123" s="79">
        <f>71.25*1.05*1.05</f>
        <v>78.55312500000001</v>
      </c>
      <c r="J123" s="79">
        <v>93.66311316796876</v>
      </c>
      <c r="K123" s="79">
        <f t="shared" si="4"/>
        <v>96.47300656300783</v>
      </c>
      <c r="L123" s="79">
        <f t="shared" si="5"/>
        <v>115.76760787560939</v>
      </c>
      <c r="M123" s="9"/>
      <c r="N123" s="8">
        <v>58.75</v>
      </c>
      <c r="P123" s="17"/>
    </row>
    <row r="124" spans="2:18" ht="12" customHeight="1">
      <c r="B124" s="157"/>
      <c r="C124" s="138"/>
      <c r="D124" s="124"/>
      <c r="E124" s="124"/>
      <c r="F124" s="138"/>
      <c r="G124" s="146"/>
      <c r="H124" s="86" t="s">
        <v>107</v>
      </c>
      <c r="I124" s="79">
        <f>$N124*1.05*1.05*1.05*1.05</f>
        <v>59.51300925937502</v>
      </c>
      <c r="J124" s="79">
        <v>70.96055976420053</v>
      </c>
      <c r="K124" s="79">
        <f t="shared" si="4"/>
        <v>73.08937655712654</v>
      </c>
      <c r="L124" s="79">
        <f t="shared" si="5"/>
        <v>87.70725186855185</v>
      </c>
      <c r="M124" s="9"/>
      <c r="N124" s="8">
        <v>48.96150000000001</v>
      </c>
      <c r="P124" s="17"/>
      <c r="R124" s="19"/>
    </row>
    <row r="125" spans="2:16" ht="12" customHeight="1">
      <c r="B125" s="157"/>
      <c r="C125" s="138"/>
      <c r="D125" s="124"/>
      <c r="E125" s="124"/>
      <c r="F125" s="138"/>
      <c r="G125" s="146"/>
      <c r="H125" s="86" t="s">
        <v>90</v>
      </c>
      <c r="I125" s="79">
        <f>$N125*1.05*1.05*1.05*1.05</f>
        <v>62.49950811562501</v>
      </c>
      <c r="J125" s="79">
        <v>74.52152287482092</v>
      </c>
      <c r="K125" s="79">
        <f t="shared" si="4"/>
        <v>76.75716856106554</v>
      </c>
      <c r="L125" s="79">
        <f t="shared" si="5"/>
        <v>92.10860227327865</v>
      </c>
      <c r="M125" s="9"/>
      <c r="N125" s="8">
        <v>51.4185</v>
      </c>
      <c r="P125" s="17"/>
    </row>
    <row r="126" spans="2:18" ht="12" customHeight="1">
      <c r="B126" s="158"/>
      <c r="C126" s="139"/>
      <c r="D126" s="125"/>
      <c r="E126" s="125"/>
      <c r="F126" s="139"/>
      <c r="G126" s="147"/>
      <c r="H126" s="86" t="s">
        <v>91</v>
      </c>
      <c r="I126" s="79">
        <f>$N126*1.05*1.05*1.05*1.1</f>
        <v>66.77262033750002</v>
      </c>
      <c r="J126" s="79">
        <v>83.59741346958164</v>
      </c>
      <c r="K126" s="79">
        <f t="shared" si="4"/>
        <v>86.10533587366909</v>
      </c>
      <c r="L126" s="79">
        <f t="shared" si="5"/>
        <v>103.32640304840291</v>
      </c>
      <c r="M126" s="9"/>
      <c r="N126" s="8">
        <v>52.437</v>
      </c>
      <c r="P126" s="17"/>
      <c r="R126" s="19"/>
    </row>
    <row r="127" spans="2:16" ht="12" customHeight="1">
      <c r="B127" s="156">
        <v>12</v>
      </c>
      <c r="C127" s="137" t="s">
        <v>81</v>
      </c>
      <c r="D127" s="141" t="s">
        <v>43</v>
      </c>
      <c r="E127" s="123"/>
      <c r="F127" s="137">
        <v>8.6</v>
      </c>
      <c r="G127" s="145" t="s">
        <v>19</v>
      </c>
      <c r="H127" s="86" t="s">
        <v>14</v>
      </c>
      <c r="I127" s="79">
        <f>$N127*1.05*1.05*1.05*1.05</f>
        <v>40.40707426875001</v>
      </c>
      <c r="J127" s="79">
        <v>50.588502857416216</v>
      </c>
      <c r="K127" s="79">
        <f t="shared" si="4"/>
        <v>52.106157943138705</v>
      </c>
      <c r="L127" s="79">
        <f t="shared" si="5"/>
        <v>62.527389531766445</v>
      </c>
      <c r="M127" s="9"/>
      <c r="N127" s="8">
        <v>33.243</v>
      </c>
      <c r="P127" s="17"/>
    </row>
    <row r="128" spans="2:18" ht="12" customHeight="1">
      <c r="B128" s="157"/>
      <c r="C128" s="138"/>
      <c r="D128" s="142"/>
      <c r="E128" s="124"/>
      <c r="F128" s="138"/>
      <c r="G128" s="146"/>
      <c r="H128" s="86" t="s">
        <v>36</v>
      </c>
      <c r="I128" s="79">
        <f>$N128*1.05*1.05*1.05*1.05</f>
        <v>45.03997634062501</v>
      </c>
      <c r="J128" s="79">
        <v>56.3887639241383</v>
      </c>
      <c r="K128" s="79">
        <f t="shared" si="4"/>
        <v>58.080426841862455</v>
      </c>
      <c r="L128" s="79">
        <f t="shared" si="5"/>
        <v>69.69651221023494</v>
      </c>
      <c r="M128" s="9"/>
      <c r="N128" s="8">
        <v>37.0545</v>
      </c>
      <c r="P128" s="17"/>
      <c r="R128" s="19"/>
    </row>
    <row r="129" spans="2:16" ht="12" customHeight="1">
      <c r="B129" s="157"/>
      <c r="C129" s="138"/>
      <c r="D129" s="142"/>
      <c r="E129" s="124"/>
      <c r="F129" s="138"/>
      <c r="G129" s="146"/>
      <c r="H129" s="86" t="s">
        <v>15</v>
      </c>
      <c r="I129" s="79">
        <f>$N129*1.05*1.05*1.05*1.05</f>
        <v>49.55801307187501</v>
      </c>
      <c r="J129" s="79">
        <v>62.04521686523915</v>
      </c>
      <c r="K129" s="79">
        <f t="shared" si="4"/>
        <v>63.90657337119632</v>
      </c>
      <c r="L129" s="79">
        <f t="shared" si="5"/>
        <v>76.68788804543559</v>
      </c>
      <c r="M129" s="9"/>
      <c r="N129" s="8">
        <v>40.7715</v>
      </c>
      <c r="P129" s="17"/>
    </row>
    <row r="130" spans="2:16" ht="12" customHeight="1">
      <c r="B130" s="157"/>
      <c r="C130" s="138"/>
      <c r="D130" s="142"/>
      <c r="E130" s="124"/>
      <c r="F130" s="138"/>
      <c r="G130" s="146"/>
      <c r="H130" s="86" t="s">
        <v>37</v>
      </c>
      <c r="I130" s="79">
        <f>$N130*1.05*1.05*1.05*1.05</f>
        <v>52.91463358125001</v>
      </c>
      <c r="J130" s="79">
        <v>66.24760986950335</v>
      </c>
      <c r="K130" s="79">
        <f t="shared" si="4"/>
        <v>68.23503816558845</v>
      </c>
      <c r="L130" s="79">
        <f t="shared" si="5"/>
        <v>81.88204579870613</v>
      </c>
      <c r="M130" s="9"/>
      <c r="N130" s="8">
        <v>43.533</v>
      </c>
      <c r="P130" s="17"/>
    </row>
    <row r="131" spans="2:16" ht="12" customHeight="1">
      <c r="B131" s="157"/>
      <c r="C131" s="138"/>
      <c r="D131" s="142"/>
      <c r="E131" s="124"/>
      <c r="F131" s="138"/>
      <c r="G131" s="146"/>
      <c r="H131" s="86" t="s">
        <v>130</v>
      </c>
      <c r="I131" s="79">
        <f>50.39*1.1</f>
        <v>55.429</v>
      </c>
      <c r="J131" s="79">
        <v>69.3955248091875</v>
      </c>
      <c r="K131" s="79">
        <f t="shared" si="4"/>
        <v>71.47739055346314</v>
      </c>
      <c r="L131" s="79">
        <f t="shared" si="5"/>
        <v>85.77286866415577</v>
      </c>
      <c r="M131" s="9"/>
      <c r="N131" s="8"/>
      <c r="P131" s="17"/>
    </row>
    <row r="132" spans="2:16" ht="12" customHeight="1">
      <c r="B132" s="157"/>
      <c r="C132" s="138"/>
      <c r="D132" s="142"/>
      <c r="E132" s="124"/>
      <c r="F132" s="138"/>
      <c r="G132" s="146"/>
      <c r="H132" s="86" t="s">
        <v>108</v>
      </c>
      <c r="I132" s="79">
        <f>$N132*1.05*1.05*1.05*1.1</f>
        <v>59.33858411250002</v>
      </c>
      <c r="J132" s="79">
        <v>74.29021245054135</v>
      </c>
      <c r="K132" s="79">
        <f t="shared" si="4"/>
        <v>76.5189188240576</v>
      </c>
      <c r="L132" s="79">
        <f t="shared" si="5"/>
        <v>91.8227025888691</v>
      </c>
      <c r="M132" s="9"/>
      <c r="N132" s="8">
        <v>46.599000000000004</v>
      </c>
      <c r="P132" s="17"/>
    </row>
    <row r="133" spans="2:16" ht="12" customHeight="1">
      <c r="B133" s="157"/>
      <c r="C133" s="138"/>
      <c r="D133" s="142"/>
      <c r="E133" s="124"/>
      <c r="F133" s="138"/>
      <c r="G133" s="146"/>
      <c r="H133" s="86" t="s">
        <v>16</v>
      </c>
      <c r="I133" s="79">
        <f>$N133*1.05*1.05*1.05*1.05</f>
        <v>74.58589451250002</v>
      </c>
      <c r="J133" s="79">
        <v>93.37940957003802</v>
      </c>
      <c r="K133" s="79">
        <f t="shared" si="4"/>
        <v>96.18079185713917</v>
      </c>
      <c r="L133" s="79">
        <f t="shared" si="5"/>
        <v>115.416950228567</v>
      </c>
      <c r="M133" s="9"/>
      <c r="N133" s="8">
        <v>61.362</v>
      </c>
      <c r="P133" s="17"/>
    </row>
    <row r="134" spans="2:16" ht="12" customHeight="1">
      <c r="B134" s="157"/>
      <c r="C134" s="138"/>
      <c r="D134" s="142"/>
      <c r="E134" s="124"/>
      <c r="F134" s="138"/>
      <c r="G134" s="146"/>
      <c r="H134" s="86" t="s">
        <v>84</v>
      </c>
      <c r="I134" s="79">
        <f>$N134*1.05*1.05*1.05*1.05</f>
        <v>52.67214008437502</v>
      </c>
      <c r="J134" s="79">
        <v>65.94401493763638</v>
      </c>
      <c r="K134" s="79">
        <f t="shared" si="4"/>
        <v>67.92233538576548</v>
      </c>
      <c r="L134" s="79">
        <f t="shared" si="5"/>
        <v>81.50680246291857</v>
      </c>
      <c r="M134" s="9"/>
      <c r="N134" s="8">
        <v>43.33350000000001</v>
      </c>
      <c r="P134" s="17"/>
    </row>
    <row r="135" spans="2:16" ht="12" customHeight="1">
      <c r="B135" s="157"/>
      <c r="C135" s="138"/>
      <c r="D135" s="142"/>
      <c r="E135" s="124"/>
      <c r="F135" s="138"/>
      <c r="G135" s="146"/>
      <c r="H135" s="86" t="s">
        <v>38</v>
      </c>
      <c r="I135" s="79">
        <f>$N135*1.05*1.05*1.05*1.1</f>
        <v>82.26910951875001</v>
      </c>
      <c r="J135" s="79">
        <v>102.9985753060344</v>
      </c>
      <c r="K135" s="79">
        <f t="shared" si="4"/>
        <v>106.08853256521543</v>
      </c>
      <c r="L135" s="79">
        <f t="shared" si="5"/>
        <v>127.30623907825851</v>
      </c>
      <c r="M135" s="9"/>
      <c r="N135" s="8">
        <v>64.6065</v>
      </c>
      <c r="P135" s="17"/>
    </row>
    <row r="136" spans="2:16" ht="12" customHeight="1">
      <c r="B136" s="157"/>
      <c r="C136" s="138"/>
      <c r="D136" s="142"/>
      <c r="E136" s="124"/>
      <c r="F136" s="138"/>
      <c r="G136" s="146"/>
      <c r="H136" s="86" t="s">
        <v>88</v>
      </c>
      <c r="I136" s="79">
        <f>$N136*1.05*1.05*1.05*1.05</f>
        <v>58.300541775000006</v>
      </c>
      <c r="J136" s="79">
        <v>72.99061309307558</v>
      </c>
      <c r="K136" s="79">
        <f t="shared" si="4"/>
        <v>75.18033148586785</v>
      </c>
      <c r="L136" s="79">
        <f t="shared" si="5"/>
        <v>90.21639778304142</v>
      </c>
      <c r="M136" s="9"/>
      <c r="N136" s="8">
        <v>47.964</v>
      </c>
      <c r="P136" s="17"/>
    </row>
    <row r="137" spans="2:16" ht="12" customHeight="1">
      <c r="B137" s="157"/>
      <c r="C137" s="138"/>
      <c r="D137" s="142"/>
      <c r="E137" s="124"/>
      <c r="F137" s="138"/>
      <c r="G137" s="146"/>
      <c r="H137" s="86" t="s">
        <v>89</v>
      </c>
      <c r="I137" s="79">
        <f>$N137*1.05*1.05*1.05*1.1</f>
        <v>64.56647649375003</v>
      </c>
      <c r="J137" s="79">
        <v>80.83538439019019</v>
      </c>
      <c r="K137" s="79">
        <f t="shared" si="4"/>
        <v>83.2604459218959</v>
      </c>
      <c r="L137" s="79">
        <f t="shared" si="5"/>
        <v>99.91253510627507</v>
      </c>
      <c r="M137" s="9"/>
      <c r="N137" s="8">
        <v>50.7045</v>
      </c>
      <c r="P137" s="17"/>
    </row>
    <row r="138" spans="2:16" ht="12" customHeight="1">
      <c r="B138" s="157"/>
      <c r="C138" s="138"/>
      <c r="D138" s="142"/>
      <c r="E138" s="124"/>
      <c r="F138" s="138"/>
      <c r="G138" s="146"/>
      <c r="H138" s="86" t="s">
        <v>110</v>
      </c>
      <c r="I138" s="79">
        <f>86.93*1.05*1.05</f>
        <v>95.84032500000002</v>
      </c>
      <c r="J138" s="79">
        <v>119.98934946071724</v>
      </c>
      <c r="K138" s="79">
        <f aca="true" t="shared" si="8" ref="K138:K201">J138*1.03</f>
        <v>123.58902994453875</v>
      </c>
      <c r="L138" s="79">
        <f t="shared" si="5"/>
        <v>148.3068359334465</v>
      </c>
      <c r="M138" s="9"/>
      <c r="N138" s="8">
        <v>71.68</v>
      </c>
      <c r="P138" s="17"/>
    </row>
    <row r="139" spans="2:18" ht="12" customHeight="1">
      <c r="B139" s="157"/>
      <c r="C139" s="138"/>
      <c r="D139" s="142"/>
      <c r="E139" s="124"/>
      <c r="F139" s="138"/>
      <c r="G139" s="146"/>
      <c r="H139" s="86" t="s">
        <v>107</v>
      </c>
      <c r="I139" s="79">
        <f>$N139*1.05*1.05*1.05*1.05</f>
        <v>72.60765809062501</v>
      </c>
      <c r="J139" s="79">
        <v>90.90271407322832</v>
      </c>
      <c r="K139" s="79">
        <f t="shared" si="8"/>
        <v>93.62979549542517</v>
      </c>
      <c r="L139" s="79">
        <f t="shared" si="5"/>
        <v>112.3557545945102</v>
      </c>
      <c r="M139" s="9"/>
      <c r="N139" s="8">
        <v>59.734500000000004</v>
      </c>
      <c r="P139" s="17"/>
      <c r="R139" s="19"/>
    </row>
    <row r="140" spans="2:16" ht="12" customHeight="1">
      <c r="B140" s="157"/>
      <c r="C140" s="138"/>
      <c r="D140" s="142"/>
      <c r="E140" s="124"/>
      <c r="F140" s="138"/>
      <c r="G140" s="146"/>
      <c r="H140" s="86" t="s">
        <v>90</v>
      </c>
      <c r="I140" s="79">
        <f>$N140*1.05*1.05*1.05*1.05</f>
        <v>76.25782335937501</v>
      </c>
      <c r="J140" s="79">
        <v>95.47261673185783</v>
      </c>
      <c r="K140" s="79">
        <f t="shared" si="8"/>
        <v>98.33679523381356</v>
      </c>
      <c r="L140" s="79">
        <f t="shared" si="5"/>
        <v>118.00415428057627</v>
      </c>
      <c r="M140" s="9"/>
      <c r="N140" s="8">
        <v>62.7375</v>
      </c>
      <c r="P140" s="17"/>
    </row>
    <row r="141" spans="2:18" ht="12" customHeight="1">
      <c r="B141" s="158"/>
      <c r="C141" s="139"/>
      <c r="D141" s="143"/>
      <c r="E141" s="125"/>
      <c r="F141" s="139"/>
      <c r="G141" s="147"/>
      <c r="H141" s="86" t="s">
        <v>91</v>
      </c>
      <c r="I141" s="79">
        <f>$N141*1.05*1.05*1.05*1.05</f>
        <v>77.78936123437502</v>
      </c>
      <c r="J141" s="79">
        <v>97.3900584068073</v>
      </c>
      <c r="K141" s="79">
        <f t="shared" si="8"/>
        <v>100.31176015901153</v>
      </c>
      <c r="L141" s="79">
        <f t="shared" si="5"/>
        <v>120.37411219081383</v>
      </c>
      <c r="M141" s="9"/>
      <c r="N141" s="8">
        <v>63.9975</v>
      </c>
      <c r="P141" s="17"/>
      <c r="R141" s="19"/>
    </row>
    <row r="142" spans="2:16" ht="10.5" customHeight="1">
      <c r="B142" s="156">
        <v>13</v>
      </c>
      <c r="C142" s="137" t="s">
        <v>44</v>
      </c>
      <c r="D142" s="141" t="s">
        <v>45</v>
      </c>
      <c r="E142" s="123"/>
      <c r="F142" s="137">
        <v>11.3</v>
      </c>
      <c r="G142" s="145" t="s">
        <v>22</v>
      </c>
      <c r="H142" s="86" t="s">
        <v>14</v>
      </c>
      <c r="I142" s="79">
        <f>42.44*1.05*1.05*1.05</f>
        <v>49.129605000000005</v>
      </c>
      <c r="J142" s="79">
        <v>59.61324200776876</v>
      </c>
      <c r="K142" s="79">
        <f t="shared" si="8"/>
        <v>61.40163926800182</v>
      </c>
      <c r="L142" s="79">
        <f t="shared" si="5"/>
        <v>73.68196712160218</v>
      </c>
      <c r="M142" s="9"/>
      <c r="N142" s="8">
        <f>40.4145+40.4145*5/100</f>
        <v>42.435224999999996</v>
      </c>
      <c r="P142" s="17"/>
    </row>
    <row r="143" spans="2:18" ht="9.75" customHeight="1">
      <c r="B143" s="157"/>
      <c r="C143" s="138"/>
      <c r="D143" s="142"/>
      <c r="E143" s="124"/>
      <c r="F143" s="138"/>
      <c r="G143" s="146"/>
      <c r="H143" s="86" t="s">
        <v>36</v>
      </c>
      <c r="I143" s="79">
        <f>47.16*1.05*1.05*1.05</f>
        <v>54.59359500000001</v>
      </c>
      <c r="J143" s="79">
        <v>66.12825097423126</v>
      </c>
      <c r="K143" s="79">
        <f t="shared" si="8"/>
        <v>68.1120985034582</v>
      </c>
      <c r="L143" s="79">
        <f t="shared" si="5"/>
        <v>81.73451820414984</v>
      </c>
      <c r="M143" s="9"/>
      <c r="N143" s="8">
        <f>44.919+44.919*5/100</f>
        <v>47.16495</v>
      </c>
      <c r="P143" s="17"/>
      <c r="R143" s="19"/>
    </row>
    <row r="144" spans="2:16" ht="12" customHeight="1">
      <c r="B144" s="157"/>
      <c r="C144" s="138"/>
      <c r="D144" s="142"/>
      <c r="E144" s="124"/>
      <c r="F144" s="138"/>
      <c r="G144" s="146"/>
      <c r="H144" s="86" t="s">
        <v>15</v>
      </c>
      <c r="I144" s="79">
        <f>44.21*1.05*1.05*1.05</f>
        <v>51.17860125000001</v>
      </c>
      <c r="J144" s="79">
        <v>62.056370370192205</v>
      </c>
      <c r="K144" s="79">
        <f t="shared" si="8"/>
        <v>63.918061481297975</v>
      </c>
      <c r="L144" s="79">
        <f aca="true" t="shared" si="9" ref="L144:L214">K144*1.2</f>
        <v>76.70167377755757</v>
      </c>
      <c r="M144" s="9"/>
      <c r="N144" s="8">
        <f>42.105+42.105*5/100</f>
        <v>44.210249999999995</v>
      </c>
      <c r="P144" s="17"/>
    </row>
    <row r="145" spans="2:16" ht="12" customHeight="1">
      <c r="B145" s="157"/>
      <c r="C145" s="138"/>
      <c r="D145" s="142"/>
      <c r="E145" s="124"/>
      <c r="F145" s="138"/>
      <c r="G145" s="146"/>
      <c r="H145" s="86" t="s">
        <v>127</v>
      </c>
      <c r="I145" s="79"/>
      <c r="J145" s="79">
        <v>62.056370370192205</v>
      </c>
      <c r="K145" s="79">
        <f t="shared" si="8"/>
        <v>63.918061481297975</v>
      </c>
      <c r="L145" s="79">
        <f t="shared" si="9"/>
        <v>76.70167377755757</v>
      </c>
      <c r="M145" s="9"/>
      <c r="N145" s="8"/>
      <c r="P145" s="17"/>
    </row>
    <row r="146" spans="2:16" ht="12" customHeight="1">
      <c r="B146" s="157"/>
      <c r="C146" s="138"/>
      <c r="D146" s="142"/>
      <c r="E146" s="124"/>
      <c r="F146" s="138"/>
      <c r="G146" s="146"/>
      <c r="H146" s="86" t="s">
        <v>136</v>
      </c>
      <c r="I146" s="79"/>
      <c r="J146" s="79">
        <v>62.056370370192205</v>
      </c>
      <c r="K146" s="79">
        <f t="shared" si="8"/>
        <v>63.918061481297975</v>
      </c>
      <c r="L146" s="79">
        <f t="shared" si="9"/>
        <v>76.70167377755757</v>
      </c>
      <c r="M146" s="9"/>
      <c r="N146" s="8"/>
      <c r="P146" s="17"/>
    </row>
    <row r="147" spans="2:16" ht="11.25" customHeight="1">
      <c r="B147" s="157"/>
      <c r="C147" s="138"/>
      <c r="D147" s="142"/>
      <c r="E147" s="124"/>
      <c r="F147" s="138"/>
      <c r="G147" s="146"/>
      <c r="H147" s="86" t="s">
        <v>37</v>
      </c>
      <c r="I147" s="79">
        <f>52.54*1.05*1.05*1.05</f>
        <v>60.8216175</v>
      </c>
      <c r="J147" s="79">
        <v>73.55425695719065</v>
      </c>
      <c r="K147" s="79">
        <f t="shared" si="8"/>
        <v>75.76088466590636</v>
      </c>
      <c r="L147" s="79">
        <f t="shared" si="9"/>
        <v>90.91306159908763</v>
      </c>
      <c r="M147" s="9"/>
      <c r="N147" s="8">
        <f>50.043+50.043*5/100</f>
        <v>52.54515</v>
      </c>
      <c r="P147" s="17"/>
    </row>
    <row r="148" spans="2:16" ht="11.25" customHeight="1">
      <c r="B148" s="157"/>
      <c r="C148" s="138"/>
      <c r="D148" s="142"/>
      <c r="E148" s="124"/>
      <c r="F148" s="138"/>
      <c r="G148" s="146"/>
      <c r="H148" s="86" t="s">
        <v>138</v>
      </c>
      <c r="I148" s="79"/>
      <c r="J148" s="79">
        <v>73.55425695719065</v>
      </c>
      <c r="K148" s="79">
        <f t="shared" si="8"/>
        <v>75.76088466590636</v>
      </c>
      <c r="L148" s="79">
        <f t="shared" si="9"/>
        <v>90.91306159908763</v>
      </c>
      <c r="M148" s="9"/>
      <c r="N148" s="8"/>
      <c r="P148" s="17"/>
    </row>
    <row r="149" spans="2:16" ht="11.25" customHeight="1">
      <c r="B149" s="157"/>
      <c r="C149" s="138"/>
      <c r="D149" s="142"/>
      <c r="E149" s="124"/>
      <c r="F149" s="138"/>
      <c r="G149" s="146"/>
      <c r="H149" s="86" t="s">
        <v>131</v>
      </c>
      <c r="I149" s="79"/>
      <c r="J149" s="79">
        <v>73.55425695719065</v>
      </c>
      <c r="K149" s="79">
        <f t="shared" si="8"/>
        <v>75.76088466590636</v>
      </c>
      <c r="L149" s="79">
        <f t="shared" si="9"/>
        <v>90.91306159908763</v>
      </c>
      <c r="M149" s="9"/>
      <c r="N149" s="8"/>
      <c r="P149" s="17"/>
    </row>
    <row r="150" spans="2:16" ht="12" customHeight="1">
      <c r="B150" s="157"/>
      <c r="C150" s="138"/>
      <c r="D150" s="142"/>
      <c r="E150" s="124"/>
      <c r="F150" s="138"/>
      <c r="G150" s="146"/>
      <c r="H150" s="86" t="s">
        <v>114</v>
      </c>
      <c r="I150" s="79">
        <f>45.21*1.05*1.05*1.05</f>
        <v>52.33622625</v>
      </c>
      <c r="J150" s="79">
        <v>63.436668880035946</v>
      </c>
      <c r="K150" s="79">
        <f t="shared" si="8"/>
        <v>65.33976894643702</v>
      </c>
      <c r="L150" s="79">
        <f t="shared" si="9"/>
        <v>78.40772273572442</v>
      </c>
      <c r="M150" s="9"/>
      <c r="N150" s="8">
        <v>45.21</v>
      </c>
      <c r="P150" s="17"/>
    </row>
    <row r="151" spans="2:16" ht="12" customHeight="1">
      <c r="B151" s="157"/>
      <c r="C151" s="138"/>
      <c r="D151" s="142"/>
      <c r="E151" s="124"/>
      <c r="F151" s="138"/>
      <c r="G151" s="146"/>
      <c r="H151" s="86" t="s">
        <v>115</v>
      </c>
      <c r="I151" s="79">
        <f>53.55*1.05*1.05*1.05</f>
        <v>61.99081875000001</v>
      </c>
      <c r="J151" s="79">
        <v>74.94835845213284</v>
      </c>
      <c r="K151" s="79">
        <f t="shared" si="8"/>
        <v>77.19680920569682</v>
      </c>
      <c r="L151" s="79">
        <f t="shared" si="9"/>
        <v>92.63617104683618</v>
      </c>
      <c r="M151" s="9"/>
      <c r="N151" s="8">
        <v>53.55</v>
      </c>
      <c r="P151" s="17"/>
    </row>
    <row r="152" spans="2:16" ht="12" customHeight="1">
      <c r="B152" s="157"/>
      <c r="C152" s="138"/>
      <c r="D152" s="142"/>
      <c r="E152" s="124"/>
      <c r="F152" s="138"/>
      <c r="G152" s="146"/>
      <c r="H152" s="86" t="s">
        <v>108</v>
      </c>
      <c r="I152" s="79">
        <f aca="true" t="shared" si="10" ref="I152:I163">$N152*1.05*1.05*1.05*1.05</f>
        <v>67.96965089250001</v>
      </c>
      <c r="J152" s="79">
        <v>82.07724137786325</v>
      </c>
      <c r="K152" s="79">
        <f t="shared" si="8"/>
        <v>84.53955861919914</v>
      </c>
      <c r="L152" s="79">
        <f t="shared" si="9"/>
        <v>101.44747034303897</v>
      </c>
      <c r="M152" s="9"/>
      <c r="N152" s="8">
        <f>53.256+53.256*5/100</f>
        <v>55.9188</v>
      </c>
      <c r="P152" s="17"/>
    </row>
    <row r="153" spans="2:16" ht="12" customHeight="1">
      <c r="B153" s="157"/>
      <c r="C153" s="138"/>
      <c r="D153" s="142"/>
      <c r="E153" s="124"/>
      <c r="F153" s="138"/>
      <c r="G153" s="146"/>
      <c r="H153" s="86" t="s">
        <v>16</v>
      </c>
      <c r="I153" s="79">
        <f t="shared" si="10"/>
        <v>83.022115640625</v>
      </c>
      <c r="J153" s="79">
        <v>100.02510416703288</v>
      </c>
      <c r="K153" s="79">
        <f t="shared" si="8"/>
        <v>103.02585729204387</v>
      </c>
      <c r="L153" s="79">
        <f t="shared" si="9"/>
        <v>123.63102875045263</v>
      </c>
      <c r="M153" s="9"/>
      <c r="N153" s="8">
        <f>68.3025</f>
        <v>68.3025</v>
      </c>
      <c r="P153" s="17"/>
    </row>
    <row r="154" spans="2:16" ht="12" customHeight="1">
      <c r="B154" s="157"/>
      <c r="C154" s="138"/>
      <c r="D154" s="142"/>
      <c r="E154" s="124"/>
      <c r="F154" s="138"/>
      <c r="G154" s="146"/>
      <c r="H154" s="86" t="s">
        <v>84</v>
      </c>
      <c r="I154" s="79">
        <f t="shared" si="10"/>
        <v>60.02288374359376</v>
      </c>
      <c r="J154" s="79">
        <v>72.60188376748808</v>
      </c>
      <c r="K154" s="79">
        <f t="shared" si="8"/>
        <v>74.77994028051272</v>
      </c>
      <c r="L154" s="79">
        <f t="shared" si="9"/>
        <v>89.73592833661526</v>
      </c>
      <c r="M154" s="9"/>
      <c r="N154" s="8">
        <f>47.0295+47.0295*5/100</f>
        <v>49.380975</v>
      </c>
      <c r="P154" s="17"/>
    </row>
    <row r="155" spans="2:16" ht="12" customHeight="1">
      <c r="B155" s="157"/>
      <c r="C155" s="138"/>
      <c r="D155" s="142"/>
      <c r="E155" s="124"/>
      <c r="F155" s="138"/>
      <c r="G155" s="146"/>
      <c r="H155" s="86" t="s">
        <v>38</v>
      </c>
      <c r="I155" s="79">
        <f t="shared" si="10"/>
        <v>88.51012635937502</v>
      </c>
      <c r="J155" s="79">
        <v>106.56875432757467</v>
      </c>
      <c r="K155" s="79">
        <f t="shared" si="8"/>
        <v>109.76581695740191</v>
      </c>
      <c r="L155" s="79">
        <f t="shared" si="9"/>
        <v>131.7189803488823</v>
      </c>
      <c r="M155" s="9"/>
      <c r="N155" s="8">
        <f>72.8175</f>
        <v>72.8175</v>
      </c>
      <c r="P155" s="17"/>
    </row>
    <row r="156" spans="2:16" ht="12" customHeight="1">
      <c r="B156" s="157"/>
      <c r="C156" s="138"/>
      <c r="D156" s="142"/>
      <c r="E156" s="124"/>
      <c r="F156" s="138"/>
      <c r="G156" s="146"/>
      <c r="H156" s="86" t="s">
        <v>139</v>
      </c>
      <c r="I156" s="79"/>
      <c r="J156" s="79">
        <v>120.1701</v>
      </c>
      <c r="K156" s="79">
        <f t="shared" si="8"/>
        <v>123.775203</v>
      </c>
      <c r="L156" s="79">
        <f t="shared" si="9"/>
        <v>148.5302436</v>
      </c>
      <c r="M156" s="9"/>
      <c r="N156" s="8"/>
      <c r="P156" s="17"/>
    </row>
    <row r="157" spans="2:16" ht="12" customHeight="1">
      <c r="B157" s="157"/>
      <c r="C157" s="138"/>
      <c r="D157" s="142"/>
      <c r="E157" s="124"/>
      <c r="F157" s="138"/>
      <c r="G157" s="146"/>
      <c r="H157" s="86" t="s">
        <v>88</v>
      </c>
      <c r="I157" s="79">
        <f t="shared" si="10"/>
        <v>71.76212155546877</v>
      </c>
      <c r="J157" s="79">
        <v>86.59920799461904</v>
      </c>
      <c r="K157" s="79">
        <f t="shared" si="8"/>
        <v>89.19718423445761</v>
      </c>
      <c r="L157" s="79">
        <f t="shared" si="9"/>
        <v>107.03662108134913</v>
      </c>
      <c r="M157" s="9"/>
      <c r="N157" s="8">
        <f>56.2275+56.2275*5/100</f>
        <v>59.038875</v>
      </c>
      <c r="P157" s="17"/>
    </row>
    <row r="158" spans="2:16" ht="12" customHeight="1">
      <c r="B158" s="157"/>
      <c r="C158" s="138"/>
      <c r="D158" s="142"/>
      <c r="E158" s="124"/>
      <c r="F158" s="138"/>
      <c r="G158" s="146"/>
      <c r="H158" s="86" t="s">
        <v>134</v>
      </c>
      <c r="I158" s="79"/>
      <c r="J158" s="79">
        <v>95.93337600000001</v>
      </c>
      <c r="K158" s="79">
        <f t="shared" si="8"/>
        <v>98.81137728000002</v>
      </c>
      <c r="L158" s="79">
        <f t="shared" si="9"/>
        <v>118.57365273600001</v>
      </c>
      <c r="M158" s="9"/>
      <c r="N158" s="8"/>
      <c r="P158" s="17"/>
    </row>
    <row r="159" spans="2:16" ht="10.5" customHeight="1">
      <c r="B159" s="157"/>
      <c r="C159" s="138"/>
      <c r="D159" s="142"/>
      <c r="E159" s="124"/>
      <c r="F159" s="138"/>
      <c r="G159" s="146"/>
      <c r="H159" s="86" t="s">
        <v>109</v>
      </c>
      <c r="I159" s="79">
        <f t="shared" si="10"/>
        <v>108.71487900000001</v>
      </c>
      <c r="J159" s="79">
        <v>130.65996690644627</v>
      </c>
      <c r="K159" s="79">
        <f t="shared" si="8"/>
        <v>134.57976591363968</v>
      </c>
      <c r="L159" s="79">
        <f t="shared" si="9"/>
        <v>161.4957190963676</v>
      </c>
      <c r="M159" s="9"/>
      <c r="N159" s="8">
        <v>89.44</v>
      </c>
      <c r="P159" s="17"/>
    </row>
    <row r="160" spans="2:16" ht="10.5" customHeight="1">
      <c r="B160" s="157"/>
      <c r="C160" s="138"/>
      <c r="D160" s="142"/>
      <c r="E160" s="124"/>
      <c r="F160" s="138"/>
      <c r="G160" s="146"/>
      <c r="H160" s="86" t="s">
        <v>89</v>
      </c>
      <c r="I160" s="79">
        <f t="shared" si="10"/>
        <v>74.02688318812501</v>
      </c>
      <c r="J160" s="79">
        <v>89.29960502017282</v>
      </c>
      <c r="K160" s="79">
        <f t="shared" si="8"/>
        <v>91.97859317077801</v>
      </c>
      <c r="L160" s="79">
        <f t="shared" si="9"/>
        <v>110.37431180493361</v>
      </c>
      <c r="M160" s="9"/>
      <c r="N160" s="8">
        <f>58.002+58.002*5/100</f>
        <v>60.902100000000004</v>
      </c>
      <c r="P160" s="17"/>
    </row>
    <row r="161" spans="2:18" ht="12" customHeight="1">
      <c r="B161" s="157"/>
      <c r="C161" s="138"/>
      <c r="D161" s="142"/>
      <c r="E161" s="124"/>
      <c r="F161" s="138"/>
      <c r="G161" s="146"/>
      <c r="H161" s="86" t="s">
        <v>107</v>
      </c>
      <c r="I161" s="79">
        <f t="shared" si="10"/>
        <v>86.96582566875001</v>
      </c>
      <c r="J161" s="79">
        <v>104.72740160798034</v>
      </c>
      <c r="K161" s="79">
        <f t="shared" si="8"/>
        <v>107.86922365621976</v>
      </c>
      <c r="L161" s="79">
        <f t="shared" si="9"/>
        <v>129.4430683874637</v>
      </c>
      <c r="M161" s="9"/>
      <c r="N161" s="8">
        <v>71.547</v>
      </c>
      <c r="P161" s="17"/>
      <c r="R161" s="19"/>
    </row>
    <row r="162" spans="2:16" ht="12" customHeight="1">
      <c r="B162" s="157"/>
      <c r="C162" s="138"/>
      <c r="D162" s="142"/>
      <c r="E162" s="124"/>
      <c r="F162" s="138"/>
      <c r="G162" s="146"/>
      <c r="H162" s="86" t="s">
        <v>90</v>
      </c>
      <c r="I162" s="79">
        <f t="shared" si="10"/>
        <v>91.30518298125004</v>
      </c>
      <c r="J162" s="79">
        <v>109.90145057212968</v>
      </c>
      <c r="K162" s="79">
        <f t="shared" si="8"/>
        <v>113.19849408929358</v>
      </c>
      <c r="L162" s="79">
        <f t="shared" si="9"/>
        <v>135.8381929071523</v>
      </c>
      <c r="M162" s="9"/>
      <c r="N162" s="8">
        <v>75.117</v>
      </c>
      <c r="P162" s="17"/>
    </row>
    <row r="163" spans="2:18" ht="12" customHeight="1">
      <c r="B163" s="158"/>
      <c r="C163" s="139"/>
      <c r="D163" s="143"/>
      <c r="E163" s="125"/>
      <c r="F163" s="139"/>
      <c r="G163" s="147"/>
      <c r="H163" s="86" t="s">
        <v>91</v>
      </c>
      <c r="I163" s="79">
        <f t="shared" si="10"/>
        <v>93.14302843125003</v>
      </c>
      <c r="J163" s="79">
        <v>112.0928124863576</v>
      </c>
      <c r="K163" s="79">
        <f t="shared" si="8"/>
        <v>115.45559686094833</v>
      </c>
      <c r="L163" s="79">
        <f t="shared" si="9"/>
        <v>138.546716233138</v>
      </c>
      <c r="M163" s="9"/>
      <c r="N163" s="8">
        <v>76.629</v>
      </c>
      <c r="P163" s="17"/>
      <c r="R163" s="19"/>
    </row>
    <row r="164" spans="2:16" ht="11.25" customHeight="1">
      <c r="B164" s="156">
        <v>14</v>
      </c>
      <c r="C164" s="137" t="s">
        <v>46</v>
      </c>
      <c r="D164" s="123" t="s">
        <v>47</v>
      </c>
      <c r="E164" s="123"/>
      <c r="F164" s="137">
        <v>15.3</v>
      </c>
      <c r="G164" s="148" t="s">
        <v>25</v>
      </c>
      <c r="H164" s="86" t="s">
        <v>14</v>
      </c>
      <c r="I164" s="79">
        <f>73.86*1.05*1.05*1.07</f>
        <v>87.1307955</v>
      </c>
      <c r="J164" s="79">
        <v>98.94355309991252</v>
      </c>
      <c r="K164" s="79">
        <f t="shared" si="8"/>
        <v>101.9118596929099</v>
      </c>
      <c r="L164" s="79">
        <f t="shared" si="9"/>
        <v>122.29423163149187</v>
      </c>
      <c r="M164" s="9"/>
      <c r="N164" s="8">
        <v>73.85700000000001</v>
      </c>
      <c r="P164" s="17"/>
    </row>
    <row r="165" spans="2:18" ht="10.5" customHeight="1">
      <c r="B165" s="157"/>
      <c r="C165" s="138"/>
      <c r="D165" s="124"/>
      <c r="E165" s="124"/>
      <c r="F165" s="138"/>
      <c r="G165" s="149"/>
      <c r="H165" s="86" t="s">
        <v>36</v>
      </c>
      <c r="I165" s="79">
        <f>79.66*1.05*1.05*1.07</f>
        <v>93.97291050000001</v>
      </c>
      <c r="J165" s="79">
        <v>106.71328784103753</v>
      </c>
      <c r="K165" s="79">
        <f t="shared" si="8"/>
        <v>109.91468647626866</v>
      </c>
      <c r="L165" s="79">
        <f t="shared" si="9"/>
        <v>131.89762377152238</v>
      </c>
      <c r="M165" s="9"/>
      <c r="N165" s="8">
        <v>79.653</v>
      </c>
      <c r="P165" s="17"/>
      <c r="R165" s="19"/>
    </row>
    <row r="166" spans="2:16" ht="10.5" customHeight="1">
      <c r="B166" s="157"/>
      <c r="C166" s="138"/>
      <c r="D166" s="124"/>
      <c r="E166" s="124"/>
      <c r="F166" s="138"/>
      <c r="G166" s="149"/>
      <c r="H166" s="86" t="s">
        <v>15</v>
      </c>
      <c r="I166" s="79">
        <f>89.84*1.05*1.05*1.07</f>
        <v>105.98200200000001</v>
      </c>
      <c r="J166" s="79">
        <v>120.35051192115003</v>
      </c>
      <c r="K166" s="79">
        <f t="shared" si="8"/>
        <v>123.96102727878453</v>
      </c>
      <c r="L166" s="79">
        <f t="shared" si="9"/>
        <v>148.75323273454143</v>
      </c>
      <c r="M166" s="9"/>
      <c r="N166" s="8">
        <v>89.83800000000001</v>
      </c>
      <c r="P166" s="17"/>
    </row>
    <row r="167" spans="2:16" ht="10.5" customHeight="1">
      <c r="B167" s="157"/>
      <c r="C167" s="138"/>
      <c r="D167" s="124"/>
      <c r="E167" s="124"/>
      <c r="F167" s="138"/>
      <c r="G167" s="149"/>
      <c r="H167" s="86" t="s">
        <v>127</v>
      </c>
      <c r="I167" s="79"/>
      <c r="J167" s="79">
        <v>126.37327499999999</v>
      </c>
      <c r="K167" s="79">
        <f t="shared" si="8"/>
        <v>130.16447325</v>
      </c>
      <c r="L167" s="79">
        <f t="shared" si="9"/>
        <v>156.1973679</v>
      </c>
      <c r="M167" s="9"/>
      <c r="N167" s="8"/>
      <c r="P167" s="17"/>
    </row>
    <row r="168" spans="2:16" ht="10.5" customHeight="1">
      <c r="B168" s="157"/>
      <c r="C168" s="138"/>
      <c r="D168" s="124"/>
      <c r="E168" s="124"/>
      <c r="F168" s="138"/>
      <c r="G168" s="149"/>
      <c r="H168" s="86" t="s">
        <v>136</v>
      </c>
      <c r="I168" s="79"/>
      <c r="J168" s="79">
        <v>126.37327499999999</v>
      </c>
      <c r="K168" s="79">
        <f t="shared" si="8"/>
        <v>130.16447325</v>
      </c>
      <c r="L168" s="79">
        <f t="shared" si="9"/>
        <v>156.1973679</v>
      </c>
      <c r="M168" s="9"/>
      <c r="N168" s="8"/>
      <c r="P168" s="17"/>
    </row>
    <row r="169" spans="2:16" ht="10.5" customHeight="1">
      <c r="B169" s="157"/>
      <c r="C169" s="138"/>
      <c r="D169" s="124"/>
      <c r="E169" s="124"/>
      <c r="F169" s="138"/>
      <c r="G169" s="149"/>
      <c r="H169" s="86" t="s">
        <v>37</v>
      </c>
      <c r="I169" s="79">
        <f>94.59*1.05*1.05*1.07</f>
        <v>111.58545825000002</v>
      </c>
      <c r="J169" s="79">
        <v>126.71365675224378</v>
      </c>
      <c r="K169" s="79">
        <f t="shared" si="8"/>
        <v>130.5150664548111</v>
      </c>
      <c r="L169" s="79">
        <f t="shared" si="9"/>
        <v>156.61807974577331</v>
      </c>
      <c r="M169" s="9"/>
      <c r="N169" s="8">
        <v>94.59450000000001</v>
      </c>
      <c r="P169" s="17"/>
    </row>
    <row r="170" spans="2:16" ht="10.5" customHeight="1">
      <c r="B170" s="157"/>
      <c r="C170" s="138"/>
      <c r="D170" s="124"/>
      <c r="E170" s="124"/>
      <c r="F170" s="138"/>
      <c r="G170" s="149"/>
      <c r="H170" s="86" t="s">
        <v>138</v>
      </c>
      <c r="I170" s="79"/>
      <c r="J170" s="79">
        <v>133.04613</v>
      </c>
      <c r="K170" s="79">
        <f t="shared" si="8"/>
        <v>137.03751390000002</v>
      </c>
      <c r="L170" s="79">
        <f t="shared" si="9"/>
        <v>164.44501668</v>
      </c>
      <c r="M170" s="9"/>
      <c r="N170" s="8"/>
      <c r="P170" s="17"/>
    </row>
    <row r="171" spans="2:16" ht="10.5" customHeight="1">
      <c r="B171" s="157"/>
      <c r="C171" s="138"/>
      <c r="D171" s="124"/>
      <c r="E171" s="124"/>
      <c r="F171" s="138"/>
      <c r="G171" s="149"/>
      <c r="H171" s="86" t="s">
        <v>131</v>
      </c>
      <c r="I171" s="79"/>
      <c r="J171" s="79">
        <v>133.04613</v>
      </c>
      <c r="K171" s="79">
        <f t="shared" si="8"/>
        <v>137.03751390000002</v>
      </c>
      <c r="L171" s="79">
        <f t="shared" si="9"/>
        <v>164.44501668</v>
      </c>
      <c r="M171" s="9"/>
      <c r="N171" s="8"/>
      <c r="P171" s="17"/>
    </row>
    <row r="172" spans="2:16" ht="10.5" customHeight="1">
      <c r="B172" s="157"/>
      <c r="C172" s="138"/>
      <c r="D172" s="124"/>
      <c r="E172" s="124"/>
      <c r="F172" s="138"/>
      <c r="G172" s="149"/>
      <c r="H172" s="86" t="s">
        <v>116</v>
      </c>
      <c r="I172" s="79">
        <f aca="true" t="shared" si="11" ref="I172:I184">$N172*1.05*1.05*1.05*1.07</f>
        <v>112.51976085000003</v>
      </c>
      <c r="J172" s="79">
        <v>127.77462742723881</v>
      </c>
      <c r="K172" s="79">
        <f t="shared" si="8"/>
        <v>131.607866250056</v>
      </c>
      <c r="L172" s="79">
        <f t="shared" si="9"/>
        <v>157.9294395000672</v>
      </c>
      <c r="M172" s="9"/>
      <c r="N172" s="8">
        <v>90.84</v>
      </c>
      <c r="P172" s="17"/>
    </row>
    <row r="173" spans="2:16" ht="10.5" customHeight="1">
      <c r="B173" s="157"/>
      <c r="C173" s="138"/>
      <c r="D173" s="124"/>
      <c r="E173" s="124"/>
      <c r="F173" s="138"/>
      <c r="G173" s="149"/>
      <c r="H173" s="86" t="s">
        <v>115</v>
      </c>
      <c r="I173" s="79">
        <f t="shared" si="11"/>
        <v>118.40338991250003</v>
      </c>
      <c r="J173" s="79">
        <v>134.45592949988725</v>
      </c>
      <c r="K173" s="79">
        <f t="shared" si="8"/>
        <v>138.48960738488387</v>
      </c>
      <c r="L173" s="79">
        <f t="shared" si="9"/>
        <v>166.18752886186064</v>
      </c>
      <c r="M173" s="9"/>
      <c r="N173" s="8">
        <v>95.59</v>
      </c>
      <c r="P173" s="17"/>
    </row>
    <row r="174" spans="2:16" ht="10.5" customHeight="1">
      <c r="B174" s="157"/>
      <c r="C174" s="138"/>
      <c r="D174" s="124"/>
      <c r="E174" s="124"/>
      <c r="F174" s="138"/>
      <c r="G174" s="149"/>
      <c r="H174" s="86" t="s">
        <v>108</v>
      </c>
      <c r="I174" s="79">
        <f t="shared" si="11"/>
        <v>124.21951207312505</v>
      </c>
      <c r="J174" s="79">
        <v>141.06057242243898</v>
      </c>
      <c r="K174" s="79">
        <f t="shared" si="8"/>
        <v>145.29238959511216</v>
      </c>
      <c r="L174" s="79">
        <f t="shared" si="9"/>
        <v>174.3508675141346</v>
      </c>
      <c r="M174" s="9"/>
      <c r="N174" s="8">
        <v>100.28550000000001</v>
      </c>
      <c r="P174" s="17"/>
    </row>
    <row r="175" spans="2:16" ht="11.25" customHeight="1">
      <c r="B175" s="157"/>
      <c r="C175" s="138"/>
      <c r="D175" s="124"/>
      <c r="E175" s="124"/>
      <c r="F175" s="138"/>
      <c r="G175" s="149"/>
      <c r="H175" s="86" t="s">
        <v>16</v>
      </c>
      <c r="I175" s="79">
        <f t="shared" si="11"/>
        <v>166.332670914375</v>
      </c>
      <c r="J175" s="79">
        <v>198.32738391227102</v>
      </c>
      <c r="K175" s="79">
        <f t="shared" si="8"/>
        <v>204.27720542963914</v>
      </c>
      <c r="L175" s="79">
        <f t="shared" si="9"/>
        <v>245.13264651556696</v>
      </c>
      <c r="M175" s="9"/>
      <c r="N175" s="8">
        <v>134.2845</v>
      </c>
      <c r="P175" s="17"/>
    </row>
    <row r="176" spans="2:16" ht="13.5" customHeight="1">
      <c r="B176" s="157"/>
      <c r="C176" s="138"/>
      <c r="D176" s="124"/>
      <c r="E176" s="124"/>
      <c r="F176" s="138"/>
      <c r="G176" s="149"/>
      <c r="H176" s="86" t="s">
        <v>84</v>
      </c>
      <c r="I176" s="79">
        <f t="shared" si="11"/>
        <v>130.02015099937503</v>
      </c>
      <c r="J176" s="79">
        <v>155.0300146196711</v>
      </c>
      <c r="K176" s="79">
        <f t="shared" si="8"/>
        <v>159.68091505826123</v>
      </c>
      <c r="L176" s="79">
        <f t="shared" si="9"/>
        <v>191.61709806991348</v>
      </c>
      <c r="M176" s="9"/>
      <c r="N176" s="8">
        <v>104.9685</v>
      </c>
      <c r="P176" s="17"/>
    </row>
    <row r="177" spans="2:16" ht="11.25" customHeight="1">
      <c r="B177" s="157"/>
      <c r="C177" s="138"/>
      <c r="D177" s="124"/>
      <c r="E177" s="124"/>
      <c r="F177" s="138"/>
      <c r="G177" s="149"/>
      <c r="H177" s="86" t="s">
        <v>38</v>
      </c>
      <c r="I177" s="79">
        <f t="shared" si="11"/>
        <v>172.65354651562504</v>
      </c>
      <c r="J177" s="79">
        <v>205.864103638705</v>
      </c>
      <c r="K177" s="79">
        <f t="shared" si="8"/>
        <v>212.04002674786614</v>
      </c>
      <c r="L177" s="79">
        <f t="shared" si="9"/>
        <v>254.44803209743935</v>
      </c>
      <c r="M177" s="9"/>
      <c r="N177" s="8">
        <v>139.3875</v>
      </c>
      <c r="P177" s="17"/>
    </row>
    <row r="178" spans="2:16" ht="10.5" customHeight="1">
      <c r="B178" s="157"/>
      <c r="C178" s="138"/>
      <c r="D178" s="124"/>
      <c r="E178" s="124"/>
      <c r="F178" s="138"/>
      <c r="G178" s="149"/>
      <c r="H178" s="86" t="s">
        <v>88</v>
      </c>
      <c r="I178" s="79">
        <f t="shared" si="11"/>
        <v>130.33229300437503</v>
      </c>
      <c r="J178" s="79">
        <v>155.40219830986538</v>
      </c>
      <c r="K178" s="79">
        <f t="shared" si="8"/>
        <v>160.06426425916135</v>
      </c>
      <c r="L178" s="79">
        <f t="shared" si="9"/>
        <v>192.0771171109936</v>
      </c>
      <c r="M178" s="9"/>
      <c r="N178" s="8">
        <v>105.2205</v>
      </c>
      <c r="P178" s="17"/>
    </row>
    <row r="179" spans="2:16" ht="10.5" customHeight="1">
      <c r="B179" s="157"/>
      <c r="C179" s="138"/>
      <c r="D179" s="124"/>
      <c r="E179" s="124"/>
      <c r="F179" s="138"/>
      <c r="G179" s="149"/>
      <c r="H179" s="86" t="s">
        <v>110</v>
      </c>
      <c r="I179" s="79">
        <f t="shared" si="11"/>
        <v>186.70303338750006</v>
      </c>
      <c r="J179" s="79">
        <v>212.0152971390104</v>
      </c>
      <c r="K179" s="79">
        <f t="shared" si="8"/>
        <v>218.37575605318074</v>
      </c>
      <c r="L179" s="79">
        <f t="shared" si="9"/>
        <v>262.0509072638169</v>
      </c>
      <c r="M179" s="9"/>
      <c r="N179" s="8">
        <v>150.73</v>
      </c>
      <c r="P179" s="17"/>
    </row>
    <row r="180" spans="2:16" ht="11.25" customHeight="1">
      <c r="B180" s="157"/>
      <c r="C180" s="138"/>
      <c r="D180" s="124"/>
      <c r="E180" s="124"/>
      <c r="F180" s="138"/>
      <c r="G180" s="149"/>
      <c r="H180" s="86" t="s">
        <v>89</v>
      </c>
      <c r="I180" s="79">
        <f t="shared" si="11"/>
        <v>131.64589060875005</v>
      </c>
      <c r="J180" s="79">
        <v>156.96847133943294</v>
      </c>
      <c r="K180" s="79">
        <f t="shared" si="8"/>
        <v>161.67752547961592</v>
      </c>
      <c r="L180" s="79">
        <f t="shared" si="9"/>
        <v>194.0130305755391</v>
      </c>
      <c r="M180" s="9"/>
      <c r="N180" s="8">
        <v>106.281</v>
      </c>
      <c r="P180" s="17"/>
    </row>
    <row r="181" spans="2:16" ht="11.25" customHeight="1">
      <c r="B181" s="157"/>
      <c r="C181" s="138"/>
      <c r="D181" s="124"/>
      <c r="E181" s="124"/>
      <c r="F181" s="138"/>
      <c r="G181" s="149"/>
      <c r="H181" s="86" t="s">
        <v>134</v>
      </c>
      <c r="I181" s="79"/>
      <c r="J181" s="79">
        <v>171.95850000000002</v>
      </c>
      <c r="K181" s="79">
        <f t="shared" si="8"/>
        <v>177.11725500000003</v>
      </c>
      <c r="L181" s="79">
        <f t="shared" si="9"/>
        <v>212.54070600000003</v>
      </c>
      <c r="M181" s="9"/>
      <c r="N181" s="8"/>
      <c r="P181" s="17"/>
    </row>
    <row r="182" spans="2:18" ht="11.25" customHeight="1">
      <c r="B182" s="157"/>
      <c r="C182" s="138"/>
      <c r="D182" s="124"/>
      <c r="E182" s="124"/>
      <c r="F182" s="138"/>
      <c r="G182" s="149"/>
      <c r="H182" s="86" t="s">
        <v>107</v>
      </c>
      <c r="I182" s="79">
        <f t="shared" si="11"/>
        <v>155.589783575625</v>
      </c>
      <c r="J182" s="79">
        <v>176.6838684838904</v>
      </c>
      <c r="K182" s="79">
        <f t="shared" si="8"/>
        <v>181.9843845384071</v>
      </c>
      <c r="L182" s="79">
        <f t="shared" si="9"/>
        <v>218.38126144608853</v>
      </c>
      <c r="M182" s="9"/>
      <c r="N182" s="8">
        <v>125.6115</v>
      </c>
      <c r="P182" s="17"/>
      <c r="R182" s="19"/>
    </row>
    <row r="183" spans="2:16" ht="10.5" customHeight="1">
      <c r="B183" s="157"/>
      <c r="C183" s="138"/>
      <c r="D183" s="124"/>
      <c r="E183" s="124"/>
      <c r="F183" s="138"/>
      <c r="G183" s="149"/>
      <c r="H183" s="86" t="s">
        <v>90</v>
      </c>
      <c r="I183" s="79">
        <f t="shared" si="11"/>
        <v>163.87455262500004</v>
      </c>
      <c r="J183" s="79">
        <v>186.09184509713444</v>
      </c>
      <c r="K183" s="79">
        <f t="shared" si="8"/>
        <v>191.67460045004847</v>
      </c>
      <c r="L183" s="79">
        <f t="shared" si="9"/>
        <v>230.00952054005816</v>
      </c>
      <c r="M183" s="9"/>
      <c r="N183" s="8">
        <v>132.3</v>
      </c>
      <c r="P183" s="17"/>
    </row>
    <row r="184" spans="2:18" ht="11.25" customHeight="1">
      <c r="B184" s="158"/>
      <c r="C184" s="139"/>
      <c r="D184" s="125"/>
      <c r="E184" s="125"/>
      <c r="F184" s="139"/>
      <c r="G184" s="150"/>
      <c r="H184" s="86" t="s">
        <v>91</v>
      </c>
      <c r="I184" s="79">
        <f t="shared" si="11"/>
        <v>165.50029223437505</v>
      </c>
      <c r="J184" s="79">
        <v>197.334894071753</v>
      </c>
      <c r="K184" s="79">
        <f t="shared" si="8"/>
        <v>203.2549408939056</v>
      </c>
      <c r="L184" s="79">
        <f t="shared" si="9"/>
        <v>243.90592907268672</v>
      </c>
      <c r="M184" s="9"/>
      <c r="N184" s="8">
        <v>133.6125</v>
      </c>
      <c r="P184" s="17"/>
      <c r="R184" s="19"/>
    </row>
    <row r="185" spans="2:16" ht="12" customHeight="1">
      <c r="B185" s="156">
        <v>15</v>
      </c>
      <c r="C185" s="137" t="s">
        <v>80</v>
      </c>
      <c r="D185" s="141" t="s">
        <v>48</v>
      </c>
      <c r="E185" s="123"/>
      <c r="F185" s="137">
        <v>10.2</v>
      </c>
      <c r="G185" s="148" t="s">
        <v>28</v>
      </c>
      <c r="H185" s="86" t="s">
        <v>14</v>
      </c>
      <c r="I185" s="79">
        <f>$N185*1.05*1.05*1.05*1.05</f>
        <v>40.96863815625001</v>
      </c>
      <c r="J185" s="79">
        <v>48.849109337997795</v>
      </c>
      <c r="K185" s="79">
        <f t="shared" si="8"/>
        <v>50.31458261813773</v>
      </c>
      <c r="L185" s="79">
        <f t="shared" si="9"/>
        <v>60.37749914176527</v>
      </c>
      <c r="M185" s="9"/>
      <c r="N185" s="8">
        <v>33.705</v>
      </c>
      <c r="P185" s="17"/>
    </row>
    <row r="186" spans="2:18" ht="12" customHeight="1">
      <c r="B186" s="157"/>
      <c r="C186" s="138"/>
      <c r="D186" s="142"/>
      <c r="E186" s="124"/>
      <c r="F186" s="138"/>
      <c r="G186" s="149"/>
      <c r="H186" s="86" t="s">
        <v>36</v>
      </c>
      <c r="I186" s="79">
        <f>$N186*1.05*1.05*1.05*1.05</f>
        <v>45.16760449687501</v>
      </c>
      <c r="J186" s="79">
        <v>53.855762600365786</v>
      </c>
      <c r="K186" s="79">
        <f t="shared" si="8"/>
        <v>55.47143547837676</v>
      </c>
      <c r="L186" s="79">
        <f t="shared" si="9"/>
        <v>66.56572257405212</v>
      </c>
      <c r="M186" s="9"/>
      <c r="N186" s="8">
        <v>37.1595</v>
      </c>
      <c r="P186" s="17"/>
      <c r="R186" s="19"/>
    </row>
    <row r="187" spans="2:16" ht="12" customHeight="1">
      <c r="B187" s="157"/>
      <c r="C187" s="138"/>
      <c r="D187" s="142"/>
      <c r="E187" s="124"/>
      <c r="F187" s="138"/>
      <c r="G187" s="149"/>
      <c r="H187" s="86" t="s">
        <v>15</v>
      </c>
      <c r="I187" s="79">
        <f>$N187*1.05*1.05*1.05*1.05</f>
        <v>49.26446831250001</v>
      </c>
      <c r="J187" s="79">
        <v>58.740673534165566</v>
      </c>
      <c r="K187" s="79">
        <f t="shared" si="8"/>
        <v>60.50289374019054</v>
      </c>
      <c r="L187" s="79">
        <f t="shared" si="9"/>
        <v>72.60347248822865</v>
      </c>
      <c r="M187" s="9"/>
      <c r="N187" s="8">
        <v>40.53</v>
      </c>
      <c r="P187" s="17"/>
    </row>
    <row r="188" spans="2:16" ht="12" customHeight="1">
      <c r="B188" s="157"/>
      <c r="C188" s="138"/>
      <c r="D188" s="142"/>
      <c r="E188" s="124"/>
      <c r="F188" s="138"/>
      <c r="G188" s="149"/>
      <c r="H188" s="86" t="s">
        <v>37</v>
      </c>
      <c r="I188" s="79">
        <f>$N188*1.05*1.05*1.05*1.05</f>
        <v>52.91463358125001</v>
      </c>
      <c r="J188" s="79">
        <v>63.09296178047938</v>
      </c>
      <c r="K188" s="79">
        <f t="shared" si="8"/>
        <v>64.98575063389376</v>
      </c>
      <c r="L188" s="79">
        <f t="shared" si="9"/>
        <v>77.9829007606725</v>
      </c>
      <c r="M188" s="9"/>
      <c r="N188" s="8">
        <v>43.533</v>
      </c>
      <c r="P188" s="17"/>
    </row>
    <row r="189" spans="2:16" ht="12" customHeight="1">
      <c r="B189" s="157"/>
      <c r="C189" s="138"/>
      <c r="D189" s="142"/>
      <c r="E189" s="124"/>
      <c r="F189" s="138"/>
      <c r="G189" s="149"/>
      <c r="H189" s="86" t="s">
        <v>129</v>
      </c>
      <c r="I189" s="79">
        <f>50.39*1.1</f>
        <v>55.429</v>
      </c>
      <c r="J189" s="79">
        <v>66.09097600875</v>
      </c>
      <c r="K189" s="79">
        <f t="shared" si="8"/>
        <v>68.07370528901251</v>
      </c>
      <c r="L189" s="79">
        <f t="shared" si="9"/>
        <v>81.68844634681501</v>
      </c>
      <c r="M189" s="9"/>
      <c r="N189" s="8"/>
      <c r="P189" s="17"/>
    </row>
    <row r="190" spans="2:16" ht="12" customHeight="1">
      <c r="B190" s="157"/>
      <c r="C190" s="138"/>
      <c r="D190" s="142"/>
      <c r="E190" s="124"/>
      <c r="F190" s="138"/>
      <c r="G190" s="149"/>
      <c r="H190" s="86" t="s">
        <v>116</v>
      </c>
      <c r="I190" s="79">
        <f>$N190*1.05*1.05*1.05*1.05</f>
        <v>50.47997456250001</v>
      </c>
      <c r="J190" s="79">
        <v>60.189986969501504</v>
      </c>
      <c r="K190" s="79">
        <f t="shared" si="8"/>
        <v>61.99568657858655</v>
      </c>
      <c r="L190" s="79">
        <f t="shared" si="9"/>
        <v>74.39482389430385</v>
      </c>
      <c r="M190" s="9"/>
      <c r="N190" s="8">
        <v>41.53</v>
      </c>
      <c r="P190" s="17"/>
    </row>
    <row r="191" spans="2:16" ht="12" customHeight="1">
      <c r="B191" s="157"/>
      <c r="C191" s="138"/>
      <c r="D191" s="142"/>
      <c r="E191" s="124"/>
      <c r="F191" s="138"/>
      <c r="G191" s="149"/>
      <c r="H191" s="86" t="s">
        <v>117</v>
      </c>
      <c r="I191" s="79">
        <f>$N191*1.05*1.05*1.05*1.05</f>
        <v>54.12649331250001</v>
      </c>
      <c r="J191" s="79">
        <v>64.53792727550932</v>
      </c>
      <c r="K191" s="79">
        <f t="shared" si="8"/>
        <v>66.4740650937746</v>
      </c>
      <c r="L191" s="79">
        <f t="shared" si="9"/>
        <v>79.76887811252952</v>
      </c>
      <c r="M191" s="9"/>
      <c r="N191" s="8">
        <v>44.53</v>
      </c>
      <c r="P191" s="17"/>
    </row>
    <row r="192" spans="2:16" ht="12" customHeight="1">
      <c r="B192" s="157"/>
      <c r="C192" s="138"/>
      <c r="D192" s="142"/>
      <c r="E192" s="124"/>
      <c r="F192" s="138"/>
      <c r="G192" s="149"/>
      <c r="H192" s="86" t="s">
        <v>108</v>
      </c>
      <c r="I192" s="79">
        <f>$N192*1.05*1.05*1.05*1.05</f>
        <v>55.09707505312502</v>
      </c>
      <c r="J192" s="79">
        <v>65.69520405362508</v>
      </c>
      <c r="K192" s="79">
        <f t="shared" si="8"/>
        <v>67.66606017523382</v>
      </c>
      <c r="L192" s="79">
        <f t="shared" si="9"/>
        <v>81.19927221028058</v>
      </c>
      <c r="M192" s="9"/>
      <c r="N192" s="8">
        <v>45.328500000000005</v>
      </c>
      <c r="P192" s="17"/>
    </row>
    <row r="193" spans="2:16" ht="12" customHeight="1">
      <c r="B193" s="157"/>
      <c r="C193" s="138"/>
      <c r="D193" s="142"/>
      <c r="E193" s="124"/>
      <c r="F193" s="138"/>
      <c r="G193" s="149"/>
      <c r="H193" s="86" t="s">
        <v>16</v>
      </c>
      <c r="I193" s="79">
        <f>$N193*1.05*1.05*1.05*1.05</f>
        <v>73.88393965312503</v>
      </c>
      <c r="J193" s="79">
        <v>88.09579251017733</v>
      </c>
      <c r="K193" s="79">
        <f t="shared" si="8"/>
        <v>90.73866628548265</v>
      </c>
      <c r="L193" s="79">
        <f t="shared" si="9"/>
        <v>108.88639954257918</v>
      </c>
      <c r="M193" s="9"/>
      <c r="N193" s="8">
        <v>60.7845</v>
      </c>
      <c r="P193" s="17"/>
    </row>
    <row r="194" spans="2:16" ht="12" customHeight="1">
      <c r="B194" s="157"/>
      <c r="C194" s="138"/>
      <c r="D194" s="142"/>
      <c r="E194" s="124"/>
      <c r="F194" s="138"/>
      <c r="G194" s="149"/>
      <c r="H194" s="86" t="s">
        <v>84</v>
      </c>
      <c r="I194" s="79">
        <f>$N194*1.05*1.05*1.05*1.05</f>
        <v>57.63687536250001</v>
      </c>
      <c r="J194" s="79">
        <v>68.7235444767595</v>
      </c>
      <c r="K194" s="79">
        <f t="shared" si="8"/>
        <v>70.78525081106228</v>
      </c>
      <c r="L194" s="79">
        <f t="shared" si="9"/>
        <v>84.94230097327474</v>
      </c>
      <c r="M194" s="9"/>
      <c r="N194" s="8">
        <v>47.418</v>
      </c>
      <c r="P194" s="17"/>
    </row>
    <row r="195" spans="2:16" ht="12" customHeight="1">
      <c r="B195" s="157"/>
      <c r="C195" s="138"/>
      <c r="D195" s="142"/>
      <c r="E195" s="124"/>
      <c r="F195" s="138"/>
      <c r="G195" s="149"/>
      <c r="H195" s="86" t="s">
        <v>38</v>
      </c>
      <c r="I195" s="79">
        <f>$N195*1.05*1.05*1.05*1.1</f>
        <v>80.1966713625</v>
      </c>
      <c r="J195" s="79">
        <v>95.6228018365945</v>
      </c>
      <c r="K195" s="79">
        <f t="shared" si="8"/>
        <v>98.49148589169235</v>
      </c>
      <c r="L195" s="79">
        <f t="shared" si="9"/>
        <v>118.18978307003081</v>
      </c>
      <c r="M195" s="9"/>
      <c r="N195" s="8">
        <v>62.979</v>
      </c>
      <c r="P195" s="17"/>
    </row>
    <row r="196" spans="2:16" ht="12" customHeight="1">
      <c r="B196" s="157"/>
      <c r="C196" s="138"/>
      <c r="D196" s="142"/>
      <c r="E196" s="124"/>
      <c r="F196" s="138"/>
      <c r="G196" s="149"/>
      <c r="H196" s="86" t="s">
        <v>88</v>
      </c>
      <c r="I196" s="79">
        <f>$N196*1.05*1.05*1.05*1.05</f>
        <v>61.65716228437501</v>
      </c>
      <c r="J196" s="79">
        <v>73.51714866413313</v>
      </c>
      <c r="K196" s="79">
        <f t="shared" si="8"/>
        <v>75.72266312405712</v>
      </c>
      <c r="L196" s="79">
        <f t="shared" si="9"/>
        <v>90.86719574886854</v>
      </c>
      <c r="M196" s="9"/>
      <c r="N196" s="8">
        <v>50.725500000000004</v>
      </c>
      <c r="P196" s="17"/>
    </row>
    <row r="197" spans="2:16" ht="12" customHeight="1">
      <c r="B197" s="157"/>
      <c r="C197" s="138"/>
      <c r="D197" s="142"/>
      <c r="E197" s="124"/>
      <c r="F197" s="138"/>
      <c r="G197" s="149"/>
      <c r="H197" s="86" t="s">
        <v>110</v>
      </c>
      <c r="I197" s="79">
        <f>$N197*1.05*1.05*1.05*1.1</f>
        <v>90.76706100000001</v>
      </c>
      <c r="J197" s="79">
        <v>108.22644555982878</v>
      </c>
      <c r="K197" s="79">
        <f t="shared" si="8"/>
        <v>111.47323892662364</v>
      </c>
      <c r="L197" s="79">
        <f t="shared" si="9"/>
        <v>133.76788671194836</v>
      </c>
      <c r="M197" s="9"/>
      <c r="N197" s="8">
        <v>71.28</v>
      </c>
      <c r="P197" s="17"/>
    </row>
    <row r="198" spans="2:16" ht="12" customHeight="1">
      <c r="B198" s="157"/>
      <c r="C198" s="138"/>
      <c r="D198" s="142"/>
      <c r="E198" s="124"/>
      <c r="F198" s="138"/>
      <c r="G198" s="149"/>
      <c r="H198" s="86" t="s">
        <v>89</v>
      </c>
      <c r="I198" s="79">
        <f>$N198*1.05*1.05*1.05*1.05</f>
        <v>62.99725792500001</v>
      </c>
      <c r="J198" s="79">
        <v>75.115016726591</v>
      </c>
      <c r="K198" s="79">
        <f t="shared" si="8"/>
        <v>77.36846722838872</v>
      </c>
      <c r="L198" s="79">
        <f t="shared" si="9"/>
        <v>92.84216067406646</v>
      </c>
      <c r="M198" s="9"/>
      <c r="N198" s="8">
        <v>51.828</v>
      </c>
      <c r="P198" s="17"/>
    </row>
    <row r="199" spans="2:18" ht="12" customHeight="1">
      <c r="B199" s="157"/>
      <c r="C199" s="138"/>
      <c r="D199" s="142"/>
      <c r="E199" s="124"/>
      <c r="F199" s="138"/>
      <c r="G199" s="149"/>
      <c r="H199" s="86" t="s">
        <v>107</v>
      </c>
      <c r="I199" s="79">
        <f>$N199*1.05*1.05*1.05*1.05</f>
        <v>72.19924799062503</v>
      </c>
      <c r="J199" s="79">
        <v>86.08704408880173</v>
      </c>
      <c r="K199" s="79">
        <f t="shared" si="8"/>
        <v>88.66965541146578</v>
      </c>
      <c r="L199" s="79">
        <f t="shared" si="9"/>
        <v>106.40358649375894</v>
      </c>
      <c r="M199" s="9"/>
      <c r="N199" s="8">
        <v>59.398500000000006</v>
      </c>
      <c r="P199" s="17"/>
      <c r="R199" s="19"/>
    </row>
    <row r="200" spans="2:16" ht="12" customHeight="1">
      <c r="B200" s="157"/>
      <c r="C200" s="138"/>
      <c r="D200" s="142"/>
      <c r="E200" s="124"/>
      <c r="F200" s="138"/>
      <c r="G200" s="149"/>
      <c r="H200" s="86" t="s">
        <v>90</v>
      </c>
      <c r="I200" s="79">
        <f>$N200*1.05*1.05*1.05*1.05</f>
        <v>75.862176075</v>
      </c>
      <c r="J200" s="79">
        <v>90.45455012618655</v>
      </c>
      <c r="K200" s="79">
        <f t="shared" si="8"/>
        <v>93.16818662997214</v>
      </c>
      <c r="L200" s="79">
        <f t="shared" si="9"/>
        <v>111.80182395596657</v>
      </c>
      <c r="M200" s="9"/>
      <c r="N200" s="8">
        <v>62.412</v>
      </c>
      <c r="P200" s="17"/>
    </row>
    <row r="201" spans="2:18" ht="12" customHeight="1">
      <c r="B201" s="158"/>
      <c r="C201" s="139"/>
      <c r="D201" s="143"/>
      <c r="E201" s="125"/>
      <c r="F201" s="139"/>
      <c r="G201" s="150"/>
      <c r="H201" s="86" t="s">
        <v>91</v>
      </c>
      <c r="I201" s="79">
        <f>77.17*1.05*1.1</f>
        <v>89.13135000000001</v>
      </c>
      <c r="J201" s="79">
        <v>106.27609941506253</v>
      </c>
      <c r="K201" s="79">
        <f t="shared" si="8"/>
        <v>109.46438239751441</v>
      </c>
      <c r="L201" s="79">
        <f t="shared" si="9"/>
        <v>131.3572588770173</v>
      </c>
      <c r="M201" s="9"/>
      <c r="N201" s="8">
        <v>63.63</v>
      </c>
      <c r="P201" s="17"/>
      <c r="R201" s="19"/>
    </row>
    <row r="202" spans="2:16" ht="12" customHeight="1">
      <c r="B202" s="156">
        <v>16</v>
      </c>
      <c r="C202" s="137" t="s">
        <v>49</v>
      </c>
      <c r="D202" s="123" t="s">
        <v>50</v>
      </c>
      <c r="E202" s="123"/>
      <c r="F202" s="137">
        <v>19.9</v>
      </c>
      <c r="G202" s="148" t="s">
        <v>25</v>
      </c>
      <c r="H202" s="86" t="s">
        <v>14</v>
      </c>
      <c r="I202" s="79">
        <f aca="true" t="shared" si="12" ref="I202:I214">$N202*1.05*1.05*1.05*1.05</f>
        <v>119.33232609375001</v>
      </c>
      <c r="J202" s="79">
        <v>135.51080620391016</v>
      </c>
      <c r="K202" s="79">
        <f aca="true" t="shared" si="13" ref="K202:K214">J202*1.03</f>
        <v>139.57613039002746</v>
      </c>
      <c r="L202" s="79">
        <f t="shared" si="9"/>
        <v>167.49135646803293</v>
      </c>
      <c r="M202" s="9"/>
      <c r="N202" s="8">
        <v>98.175</v>
      </c>
      <c r="P202" s="17"/>
    </row>
    <row r="203" spans="2:18" ht="12" customHeight="1">
      <c r="B203" s="157"/>
      <c r="C203" s="138"/>
      <c r="D203" s="124"/>
      <c r="E203" s="124"/>
      <c r="F203" s="138"/>
      <c r="G203" s="149"/>
      <c r="H203" s="86" t="s">
        <v>36</v>
      </c>
      <c r="I203" s="79">
        <f t="shared" si="12"/>
        <v>124.67994584062502</v>
      </c>
      <c r="J203" s="79">
        <v>141.58342949796778</v>
      </c>
      <c r="K203" s="79">
        <f t="shared" si="13"/>
        <v>145.8309323829068</v>
      </c>
      <c r="L203" s="79">
        <f t="shared" si="9"/>
        <v>174.99711885948815</v>
      </c>
      <c r="M203" s="9"/>
      <c r="N203" s="8">
        <v>102.5745</v>
      </c>
      <c r="P203" s="17"/>
      <c r="R203" s="19"/>
    </row>
    <row r="204" spans="2:16" ht="12" customHeight="1">
      <c r="B204" s="157"/>
      <c r="C204" s="138"/>
      <c r="D204" s="124"/>
      <c r="E204" s="124"/>
      <c r="F204" s="138"/>
      <c r="G204" s="149"/>
      <c r="H204" s="86" t="s">
        <v>15</v>
      </c>
      <c r="I204" s="79">
        <f t="shared" si="12"/>
        <v>141.43752275625002</v>
      </c>
      <c r="J204" s="79">
        <v>160.6129149039286</v>
      </c>
      <c r="K204" s="79">
        <f t="shared" si="13"/>
        <v>165.43130235104647</v>
      </c>
      <c r="L204" s="79">
        <f t="shared" si="9"/>
        <v>198.51756282125575</v>
      </c>
      <c r="M204" s="9"/>
      <c r="N204" s="8">
        <v>116.361</v>
      </c>
      <c r="P204" s="17"/>
    </row>
    <row r="205" spans="2:16" ht="12" customHeight="1">
      <c r="B205" s="157"/>
      <c r="C205" s="138"/>
      <c r="D205" s="124"/>
      <c r="E205" s="124"/>
      <c r="F205" s="138"/>
      <c r="G205" s="149"/>
      <c r="H205" s="86" t="s">
        <v>37</v>
      </c>
      <c r="I205" s="79">
        <f t="shared" si="12"/>
        <v>149.580199125</v>
      </c>
      <c r="J205" s="79">
        <v>169.8595346213719</v>
      </c>
      <c r="K205" s="79">
        <f t="shared" si="13"/>
        <v>174.95532066001306</v>
      </c>
      <c r="L205" s="79">
        <f t="shared" si="9"/>
        <v>209.94638479201566</v>
      </c>
      <c r="M205" s="9"/>
      <c r="N205" s="8">
        <v>123.06</v>
      </c>
      <c r="P205" s="17"/>
    </row>
    <row r="206" spans="2:16" ht="12" customHeight="1">
      <c r="B206" s="157"/>
      <c r="C206" s="138"/>
      <c r="D206" s="124"/>
      <c r="E206" s="124"/>
      <c r="F206" s="138"/>
      <c r="G206" s="149"/>
      <c r="H206" s="86" t="s">
        <v>108</v>
      </c>
      <c r="I206" s="79">
        <f t="shared" si="12"/>
        <v>158.00365743750007</v>
      </c>
      <c r="J206" s="79">
        <v>179.42500329458917</v>
      </c>
      <c r="K206" s="79">
        <f t="shared" si="13"/>
        <v>184.80775339342685</v>
      </c>
      <c r="L206" s="79">
        <f t="shared" si="9"/>
        <v>221.76930407211222</v>
      </c>
      <c r="M206" s="9"/>
      <c r="N206" s="8">
        <v>129.99</v>
      </c>
      <c r="P206" s="17"/>
    </row>
    <row r="207" spans="2:16" ht="12" customHeight="1">
      <c r="B207" s="157"/>
      <c r="C207" s="138"/>
      <c r="D207" s="124"/>
      <c r="E207" s="124"/>
      <c r="F207" s="138"/>
      <c r="G207" s="149"/>
      <c r="H207" s="86" t="s">
        <v>16</v>
      </c>
      <c r="I207" s="79">
        <f t="shared" si="12"/>
        <v>208.96558022812502</v>
      </c>
      <c r="J207" s="79">
        <v>237.2960887675531</v>
      </c>
      <c r="K207" s="79">
        <f t="shared" si="13"/>
        <v>244.4149714305797</v>
      </c>
      <c r="L207" s="79">
        <f t="shared" si="9"/>
        <v>293.2979657166956</v>
      </c>
      <c r="M207" s="9"/>
      <c r="N207" s="8">
        <v>171.91649999999998</v>
      </c>
      <c r="P207" s="17"/>
    </row>
    <row r="208" spans="2:16" ht="12" customHeight="1">
      <c r="B208" s="157"/>
      <c r="C208" s="138"/>
      <c r="D208" s="124"/>
      <c r="E208" s="124"/>
      <c r="F208" s="138"/>
      <c r="G208" s="149"/>
      <c r="H208" s="86" t="s">
        <v>84</v>
      </c>
      <c r="I208" s="79">
        <f t="shared" si="12"/>
        <v>164.30848835625005</v>
      </c>
      <c r="J208" s="79">
        <v>186.58461166514866</v>
      </c>
      <c r="K208" s="79">
        <f t="shared" si="13"/>
        <v>192.18215001510313</v>
      </c>
      <c r="L208" s="79">
        <f t="shared" si="9"/>
        <v>230.61858001812374</v>
      </c>
      <c r="M208" s="9"/>
      <c r="N208" s="8">
        <v>135.17700000000002</v>
      </c>
      <c r="P208" s="17"/>
    </row>
    <row r="209" spans="2:16" ht="12" customHeight="1">
      <c r="B209" s="157"/>
      <c r="C209" s="138"/>
      <c r="D209" s="124"/>
      <c r="E209" s="124"/>
      <c r="F209" s="138"/>
      <c r="G209" s="149"/>
      <c r="H209" s="86" t="s">
        <v>38</v>
      </c>
      <c r="I209" s="79">
        <f t="shared" si="12"/>
        <v>219.52042875000004</v>
      </c>
      <c r="J209" s="79">
        <v>249.2819108777813</v>
      </c>
      <c r="K209" s="79">
        <f t="shared" si="13"/>
        <v>256.76036820411474</v>
      </c>
      <c r="L209" s="79">
        <f t="shared" si="9"/>
        <v>308.1124418449377</v>
      </c>
      <c r="M209" s="9"/>
      <c r="N209" s="8">
        <v>180.6</v>
      </c>
      <c r="P209" s="17"/>
    </row>
    <row r="210" spans="2:16" ht="12" customHeight="1">
      <c r="B210" s="157"/>
      <c r="C210" s="138"/>
      <c r="D210" s="124"/>
      <c r="E210" s="124"/>
      <c r="F210" s="138"/>
      <c r="G210" s="149"/>
      <c r="H210" s="86" t="s">
        <v>88</v>
      </c>
      <c r="I210" s="79">
        <f t="shared" si="12"/>
        <v>164.16809738437502</v>
      </c>
      <c r="J210" s="79">
        <v>186.42518718726168</v>
      </c>
      <c r="K210" s="79">
        <f t="shared" si="13"/>
        <v>192.01794280287953</v>
      </c>
      <c r="L210" s="79">
        <f t="shared" si="9"/>
        <v>230.42153136345541</v>
      </c>
      <c r="M210" s="9"/>
      <c r="N210" s="8">
        <v>135.0615</v>
      </c>
      <c r="P210" s="17"/>
    </row>
    <row r="211" spans="2:16" ht="12" customHeight="1">
      <c r="B211" s="157"/>
      <c r="C211" s="138"/>
      <c r="D211" s="124"/>
      <c r="E211" s="124"/>
      <c r="F211" s="138"/>
      <c r="G211" s="149"/>
      <c r="H211" s="86" t="s">
        <v>89</v>
      </c>
      <c r="I211" s="79">
        <f t="shared" si="12"/>
        <v>170.20490917500004</v>
      </c>
      <c r="J211" s="79">
        <v>193.2804397364007</v>
      </c>
      <c r="K211" s="79">
        <f t="shared" si="13"/>
        <v>199.07885292849272</v>
      </c>
      <c r="L211" s="79">
        <f t="shared" si="9"/>
        <v>238.89462351419127</v>
      </c>
      <c r="M211" s="9"/>
      <c r="N211" s="8">
        <v>140.02800000000002</v>
      </c>
      <c r="P211" s="17"/>
    </row>
    <row r="212" spans="2:18" ht="12" customHeight="1">
      <c r="B212" s="157"/>
      <c r="C212" s="138"/>
      <c r="D212" s="124"/>
      <c r="E212" s="124"/>
      <c r="F212" s="138"/>
      <c r="G212" s="149"/>
      <c r="H212" s="86" t="s">
        <v>107</v>
      </c>
      <c r="I212" s="79">
        <f t="shared" si="12"/>
        <v>200.37620531250002</v>
      </c>
      <c r="J212" s="79">
        <v>227.54220934774222</v>
      </c>
      <c r="K212" s="79">
        <f t="shared" si="13"/>
        <v>234.36847562817448</v>
      </c>
      <c r="L212" s="79">
        <f t="shared" si="9"/>
        <v>281.2421707538094</v>
      </c>
      <c r="M212" s="9"/>
      <c r="N212" s="8">
        <v>164.85</v>
      </c>
      <c r="P212" s="17"/>
      <c r="R212" s="19"/>
    </row>
    <row r="213" spans="2:16" ht="12" customHeight="1">
      <c r="B213" s="157"/>
      <c r="C213" s="138"/>
      <c r="D213" s="124"/>
      <c r="E213" s="124"/>
      <c r="F213" s="138"/>
      <c r="G213" s="149"/>
      <c r="H213" s="86" t="s">
        <v>90</v>
      </c>
      <c r="I213" s="79">
        <f t="shared" si="12"/>
        <v>210.40777839375005</v>
      </c>
      <c r="J213" s="79">
        <v>238.93381294948273</v>
      </c>
      <c r="K213" s="79">
        <f t="shared" si="13"/>
        <v>246.10182733796722</v>
      </c>
      <c r="L213" s="79">
        <f t="shared" si="9"/>
        <v>295.32219280556063</v>
      </c>
      <c r="M213" s="9"/>
      <c r="N213" s="8">
        <v>173.103</v>
      </c>
      <c r="P213" s="17"/>
    </row>
    <row r="214" spans="2:18" ht="12" customHeight="1">
      <c r="B214" s="158"/>
      <c r="C214" s="139"/>
      <c r="D214" s="125"/>
      <c r="E214" s="125"/>
      <c r="F214" s="139"/>
      <c r="G214" s="150"/>
      <c r="H214" s="86" t="s">
        <v>91</v>
      </c>
      <c r="I214" s="79">
        <f t="shared" si="12"/>
        <v>214.41530250000005</v>
      </c>
      <c r="J214" s="79">
        <v>243.4846571364376</v>
      </c>
      <c r="K214" s="79">
        <f t="shared" si="13"/>
        <v>250.78919685053071</v>
      </c>
      <c r="L214" s="79">
        <f t="shared" si="9"/>
        <v>300.94703622063685</v>
      </c>
      <c r="M214" s="9"/>
      <c r="N214" s="8">
        <v>176.4</v>
      </c>
      <c r="P214" s="17"/>
      <c r="R214" s="19"/>
    </row>
    <row r="215" spans="2:14" ht="6.75" customHeight="1">
      <c r="B215" s="62"/>
      <c r="C215" s="62"/>
      <c r="D215" s="62"/>
      <c r="E215" s="62"/>
      <c r="F215" s="62"/>
      <c r="G215" s="64"/>
      <c r="H215" s="85"/>
      <c r="I215" s="101"/>
      <c r="J215" s="101"/>
      <c r="K215" s="101"/>
      <c r="L215" s="101"/>
      <c r="M215" s="9"/>
      <c r="N215" s="9"/>
    </row>
    <row r="216" spans="2:16" ht="21" customHeight="1">
      <c r="B216" s="11" t="s">
        <v>68</v>
      </c>
      <c r="C216" s="62"/>
      <c r="D216" s="62"/>
      <c r="E216" s="62"/>
      <c r="F216" s="62"/>
      <c r="G216" s="64"/>
      <c r="H216" s="85"/>
      <c r="I216" s="101"/>
      <c r="J216" s="101"/>
      <c r="K216" s="101"/>
      <c r="L216" s="101"/>
      <c r="M216" s="9"/>
      <c r="N216" s="9"/>
      <c r="O216"/>
      <c r="P216"/>
    </row>
    <row r="217" spans="2:16" ht="12.75" customHeight="1">
      <c r="B217" s="156">
        <v>17</v>
      </c>
      <c r="C217" s="137" t="s">
        <v>51</v>
      </c>
      <c r="D217" s="123" t="s">
        <v>52</v>
      </c>
      <c r="E217" s="123"/>
      <c r="F217" s="137">
        <v>7.4</v>
      </c>
      <c r="G217" s="148" t="s">
        <v>53</v>
      </c>
      <c r="H217" s="86" t="s">
        <v>69</v>
      </c>
      <c r="I217" s="79">
        <f aca="true" t="shared" si="14" ref="I217:I230">$N217*1.05*1.05*1.05*1.05</f>
        <v>30.822199734375005</v>
      </c>
      <c r="J217" s="79">
        <v>33.54020901272661</v>
      </c>
      <c r="K217" s="79">
        <f aca="true" t="shared" si="15" ref="K217:K230">J217*1.03</f>
        <v>34.54641528310841</v>
      </c>
      <c r="L217" s="79">
        <f aca="true" t="shared" si="16" ref="L217:L230">K217*1.2</f>
        <v>41.45569833973009</v>
      </c>
      <c r="M217" s="130" t="s">
        <v>119</v>
      </c>
      <c r="N217" s="121">
        <v>25.3575</v>
      </c>
      <c r="O217" s="122"/>
      <c r="P217" s="122"/>
    </row>
    <row r="218" spans="2:16" ht="12.75">
      <c r="B218" s="157"/>
      <c r="C218" s="138"/>
      <c r="D218" s="124"/>
      <c r="E218" s="124"/>
      <c r="F218" s="138"/>
      <c r="G218" s="149"/>
      <c r="H218" s="86" t="s">
        <v>36</v>
      </c>
      <c r="I218" s="79">
        <f t="shared" si="14"/>
        <v>33.78317295937501</v>
      </c>
      <c r="J218" s="79">
        <v>36.742501555564075</v>
      </c>
      <c r="K218" s="79">
        <f t="shared" si="15"/>
        <v>37.844776602231</v>
      </c>
      <c r="L218" s="79">
        <f t="shared" si="16"/>
        <v>45.4137319226772</v>
      </c>
      <c r="M218" s="131"/>
      <c r="N218" s="121">
        <v>27.7935</v>
      </c>
      <c r="O218" s="122"/>
      <c r="P218" s="122"/>
    </row>
    <row r="219" spans="2:16" ht="12.75">
      <c r="B219" s="157"/>
      <c r="C219" s="138"/>
      <c r="D219" s="124"/>
      <c r="E219" s="124"/>
      <c r="F219" s="138"/>
      <c r="G219" s="149"/>
      <c r="H219" s="86" t="s">
        <v>70</v>
      </c>
      <c r="I219" s="79">
        <f t="shared" si="14"/>
        <v>32.51965421250001</v>
      </c>
      <c r="J219" s="79">
        <v>35.376006030818765</v>
      </c>
      <c r="K219" s="79">
        <f t="shared" si="15"/>
        <v>36.43728621174333</v>
      </c>
      <c r="L219" s="79">
        <f t="shared" si="16"/>
        <v>43.72474345409199</v>
      </c>
      <c r="M219" s="131"/>
      <c r="N219" s="121">
        <v>26.754</v>
      </c>
      <c r="O219" s="122"/>
      <c r="P219" s="122"/>
    </row>
    <row r="220" spans="2:16" ht="12.75">
      <c r="B220" s="157"/>
      <c r="C220" s="138"/>
      <c r="D220" s="124"/>
      <c r="E220" s="124"/>
      <c r="F220" s="138"/>
      <c r="G220" s="149"/>
      <c r="H220" s="86" t="s">
        <v>37</v>
      </c>
      <c r="I220" s="79">
        <f t="shared" si="14"/>
        <v>35.74864656562501</v>
      </c>
      <c r="J220" s="79">
        <v>38.868161260723454</v>
      </c>
      <c r="K220" s="79">
        <f t="shared" si="15"/>
        <v>40.034206098545155</v>
      </c>
      <c r="L220" s="79">
        <f t="shared" si="16"/>
        <v>48.041047318254186</v>
      </c>
      <c r="M220" s="131"/>
      <c r="N220" s="121">
        <v>29.410500000000003</v>
      </c>
      <c r="O220" s="122"/>
      <c r="P220" s="122"/>
    </row>
    <row r="221" spans="2:16" ht="12.75">
      <c r="B221" s="157"/>
      <c r="C221" s="138"/>
      <c r="D221" s="124"/>
      <c r="E221" s="124"/>
      <c r="F221" s="138"/>
      <c r="G221" s="149"/>
      <c r="H221" s="86" t="s">
        <v>108</v>
      </c>
      <c r="I221" s="79">
        <f t="shared" si="14"/>
        <v>40.34326019062501</v>
      </c>
      <c r="J221" s="79">
        <v>43.837235896160955</v>
      </c>
      <c r="K221" s="79">
        <f t="shared" si="15"/>
        <v>45.15235297304579</v>
      </c>
      <c r="L221" s="79">
        <f t="shared" si="16"/>
        <v>54.18282356765494</v>
      </c>
      <c r="M221" s="131"/>
      <c r="N221" s="121">
        <v>33.1905</v>
      </c>
      <c r="O221" s="122"/>
      <c r="P221" s="122"/>
    </row>
    <row r="222" spans="2:16" ht="12.75">
      <c r="B222" s="157"/>
      <c r="C222" s="138"/>
      <c r="D222" s="124"/>
      <c r="E222" s="124"/>
      <c r="F222" s="138"/>
      <c r="G222" s="149"/>
      <c r="H222" s="86" t="s">
        <v>71</v>
      </c>
      <c r="I222" s="79">
        <f t="shared" si="14"/>
        <v>45.320758284375</v>
      </c>
      <c r="J222" s="79">
        <v>49.22040008455157</v>
      </c>
      <c r="K222" s="79">
        <f t="shared" si="15"/>
        <v>50.69701208708812</v>
      </c>
      <c r="L222" s="79">
        <f t="shared" si="16"/>
        <v>60.83641450450574</v>
      </c>
      <c r="M222" s="131"/>
      <c r="N222" s="121">
        <v>37.2855</v>
      </c>
      <c r="O222" s="122"/>
      <c r="P222" s="122"/>
    </row>
    <row r="223" spans="2:16" ht="12.75">
      <c r="B223" s="157"/>
      <c r="C223" s="138"/>
      <c r="D223" s="124"/>
      <c r="E223" s="124"/>
      <c r="F223" s="138"/>
      <c r="G223" s="149"/>
      <c r="H223" s="86" t="s">
        <v>92</v>
      </c>
      <c r="I223" s="79">
        <f t="shared" si="14"/>
        <v>40.34326019062501</v>
      </c>
      <c r="J223" s="79">
        <v>43.837235896160955</v>
      </c>
      <c r="K223" s="79">
        <f t="shared" si="15"/>
        <v>45.15235297304579</v>
      </c>
      <c r="L223" s="79">
        <f t="shared" si="16"/>
        <v>54.18282356765494</v>
      </c>
      <c r="M223" s="131"/>
      <c r="N223" s="121">
        <v>33.1905</v>
      </c>
      <c r="O223" s="122"/>
      <c r="P223" s="122"/>
    </row>
    <row r="224" spans="2:16" ht="12.75">
      <c r="B224" s="157"/>
      <c r="C224" s="138"/>
      <c r="D224" s="124"/>
      <c r="E224" s="124"/>
      <c r="F224" s="138"/>
      <c r="G224" s="149"/>
      <c r="H224" s="86" t="s">
        <v>38</v>
      </c>
      <c r="I224" s="79">
        <f t="shared" si="14"/>
        <v>47.56701383437502</v>
      </c>
      <c r="J224" s="79">
        <v>51.649725461876585</v>
      </c>
      <c r="K224" s="79">
        <f t="shared" si="15"/>
        <v>53.19921722573289</v>
      </c>
      <c r="L224" s="79">
        <f t="shared" si="16"/>
        <v>63.83906067087946</v>
      </c>
      <c r="M224" s="131"/>
      <c r="N224" s="121">
        <v>39.133500000000005</v>
      </c>
      <c r="O224" s="122"/>
      <c r="P224" s="122"/>
    </row>
    <row r="225" spans="2:16" ht="12.75">
      <c r="B225" s="157"/>
      <c r="C225" s="138"/>
      <c r="D225" s="124"/>
      <c r="E225" s="124"/>
      <c r="F225" s="138"/>
      <c r="G225" s="149"/>
      <c r="H225" s="86" t="s">
        <v>88</v>
      </c>
      <c r="I225" s="79">
        <f t="shared" si="14"/>
        <v>40.34326019062501</v>
      </c>
      <c r="J225" s="79">
        <v>43.837235896160955</v>
      </c>
      <c r="K225" s="79">
        <f t="shared" si="15"/>
        <v>45.15235297304579</v>
      </c>
      <c r="L225" s="79">
        <f t="shared" si="16"/>
        <v>54.18282356765494</v>
      </c>
      <c r="M225" s="131"/>
      <c r="N225" s="121">
        <v>33.1905</v>
      </c>
      <c r="O225" s="122"/>
      <c r="P225" s="122"/>
    </row>
    <row r="226" spans="2:16" ht="12.75">
      <c r="B226" s="157"/>
      <c r="C226" s="138"/>
      <c r="D226" s="124"/>
      <c r="E226" s="124"/>
      <c r="F226" s="138"/>
      <c r="G226" s="149"/>
      <c r="H226" s="86" t="s">
        <v>113</v>
      </c>
      <c r="I226" s="79">
        <f t="shared" si="14"/>
        <v>58.93989806250001</v>
      </c>
      <c r="J226" s="79">
        <v>63.949499754593774</v>
      </c>
      <c r="K226" s="79">
        <f t="shared" si="15"/>
        <v>65.86798474723159</v>
      </c>
      <c r="L226" s="79">
        <f t="shared" si="16"/>
        <v>79.04158169667791</v>
      </c>
      <c r="M226" s="131"/>
      <c r="N226" s="121">
        <v>48.49</v>
      </c>
      <c r="O226" s="122"/>
      <c r="P226" s="122"/>
    </row>
    <row r="227" spans="2:16" ht="12.75">
      <c r="B227" s="157"/>
      <c r="C227" s="138"/>
      <c r="D227" s="124"/>
      <c r="E227" s="124"/>
      <c r="F227" s="138"/>
      <c r="G227" s="149"/>
      <c r="H227" s="86" t="s">
        <v>89</v>
      </c>
      <c r="I227" s="79">
        <f t="shared" si="14"/>
        <v>40.34326019062501</v>
      </c>
      <c r="J227" s="79">
        <v>43.837235896160955</v>
      </c>
      <c r="K227" s="79">
        <f t="shared" si="15"/>
        <v>45.15235297304579</v>
      </c>
      <c r="L227" s="79">
        <f t="shared" si="16"/>
        <v>54.18282356765494</v>
      </c>
      <c r="M227" s="131"/>
      <c r="N227" s="121">
        <v>33.1905</v>
      </c>
      <c r="O227" s="122"/>
      <c r="P227" s="122"/>
    </row>
    <row r="228" spans="2:16" ht="12.75">
      <c r="B228" s="157"/>
      <c r="C228" s="138"/>
      <c r="D228" s="124"/>
      <c r="E228" s="124"/>
      <c r="F228" s="138"/>
      <c r="G228" s="149"/>
      <c r="H228" s="86" t="s">
        <v>107</v>
      </c>
      <c r="I228" s="79">
        <f t="shared" si="14"/>
        <v>49.12407734062501</v>
      </c>
      <c r="J228" s="79">
        <v>53.333689643885954</v>
      </c>
      <c r="K228" s="79">
        <f t="shared" si="15"/>
        <v>54.93370033320254</v>
      </c>
      <c r="L228" s="79">
        <f t="shared" si="16"/>
        <v>65.92044039984305</v>
      </c>
      <c r="M228" s="131"/>
      <c r="N228" s="121">
        <v>40.414500000000004</v>
      </c>
      <c r="O228" s="122"/>
      <c r="P228" s="122"/>
    </row>
    <row r="229" spans="2:16" ht="12.75">
      <c r="B229" s="157"/>
      <c r="C229" s="138"/>
      <c r="D229" s="124"/>
      <c r="E229" s="124"/>
      <c r="F229" s="138"/>
      <c r="G229" s="149"/>
      <c r="H229" s="86" t="s">
        <v>90</v>
      </c>
      <c r="I229" s="79">
        <f t="shared" si="14"/>
        <v>54.024998540625006</v>
      </c>
      <c r="J229" s="79">
        <v>58.63403592168596</v>
      </c>
      <c r="K229" s="79">
        <f t="shared" si="15"/>
        <v>60.39305699933654</v>
      </c>
      <c r="L229" s="79">
        <f t="shared" si="16"/>
        <v>72.47166839920384</v>
      </c>
      <c r="M229" s="131"/>
      <c r="N229" s="121">
        <v>44.4465</v>
      </c>
      <c r="O229" s="122"/>
      <c r="P229" s="122"/>
    </row>
    <row r="230" spans="2:16" ht="12.75">
      <c r="B230" s="158"/>
      <c r="C230" s="139"/>
      <c r="D230" s="125"/>
      <c r="E230" s="125"/>
      <c r="F230" s="139"/>
      <c r="G230" s="150"/>
      <c r="H230" s="86" t="s">
        <v>91</v>
      </c>
      <c r="I230" s="79">
        <f t="shared" si="14"/>
        <v>54.024998540625006</v>
      </c>
      <c r="J230" s="79">
        <v>58.63403592168596</v>
      </c>
      <c r="K230" s="79">
        <f t="shared" si="15"/>
        <v>60.39305699933654</v>
      </c>
      <c r="L230" s="79">
        <f t="shared" si="16"/>
        <v>72.47166839920384</v>
      </c>
      <c r="M230" s="132"/>
      <c r="N230" s="121">
        <v>44.4465</v>
      </c>
      <c r="O230" s="122"/>
      <c r="P230" s="122"/>
    </row>
    <row r="231" spans="2:14" ht="10.5" customHeight="1">
      <c r="B231" s="11" t="s">
        <v>54</v>
      </c>
      <c r="C231" s="62"/>
      <c r="D231" s="62"/>
      <c r="E231" s="62"/>
      <c r="F231" s="62"/>
      <c r="G231" s="64"/>
      <c r="H231" s="63"/>
      <c r="I231" s="79"/>
      <c r="J231" s="101"/>
      <c r="K231" s="101"/>
      <c r="L231" s="102"/>
      <c r="M231" s="9"/>
      <c r="N231" s="1"/>
    </row>
    <row r="232" spans="2:16" ht="12.75">
      <c r="B232" s="161">
        <v>18</v>
      </c>
      <c r="C232" s="128" t="s">
        <v>55</v>
      </c>
      <c r="D232" s="144" t="s">
        <v>73</v>
      </c>
      <c r="E232" s="144"/>
      <c r="F232" s="128">
        <v>23.5</v>
      </c>
      <c r="G232" s="129" t="s">
        <v>13</v>
      </c>
      <c r="H232" s="140" t="s">
        <v>14</v>
      </c>
      <c r="I232" s="133">
        <f>$N232*1.05*1.05*1.05*1.05</f>
        <v>67.14517300312501</v>
      </c>
      <c r="J232" s="133">
        <v>76.24837983302369</v>
      </c>
      <c r="K232" s="134">
        <f>76.25*1.03</f>
        <v>78.53750000000001</v>
      </c>
      <c r="L232" s="133">
        <f>K232*1.2</f>
        <v>94.245</v>
      </c>
      <c r="M232" s="126"/>
      <c r="N232" s="126">
        <v>55.240500000000004</v>
      </c>
      <c r="O232" s="23"/>
      <c r="P232" s="18"/>
    </row>
    <row r="233" spans="2:15" ht="12.75">
      <c r="B233" s="161"/>
      <c r="C233" s="128"/>
      <c r="D233" s="144"/>
      <c r="E233" s="144"/>
      <c r="F233" s="128"/>
      <c r="G233" s="129"/>
      <c r="H233" s="140"/>
      <c r="I233" s="133"/>
      <c r="J233" s="133"/>
      <c r="K233" s="135"/>
      <c r="L233" s="133"/>
      <c r="M233" s="126"/>
      <c r="N233" s="127"/>
      <c r="O233" s="23"/>
    </row>
    <row r="234" spans="2:16" ht="12.75">
      <c r="B234" s="161"/>
      <c r="C234" s="128"/>
      <c r="D234" s="144"/>
      <c r="E234" s="144"/>
      <c r="F234" s="128"/>
      <c r="G234" s="129"/>
      <c r="H234" s="140"/>
      <c r="I234" s="133"/>
      <c r="J234" s="133"/>
      <c r="K234" s="135"/>
      <c r="L234" s="133"/>
      <c r="M234" s="126"/>
      <c r="N234" s="127"/>
      <c r="O234" s="23"/>
      <c r="P234" s="17"/>
    </row>
    <row r="235" spans="2:15" ht="12.75">
      <c r="B235" s="161"/>
      <c r="C235" s="128"/>
      <c r="D235" s="144"/>
      <c r="E235" s="144"/>
      <c r="F235" s="128"/>
      <c r="G235" s="129"/>
      <c r="H235" s="140"/>
      <c r="I235" s="133"/>
      <c r="J235" s="133"/>
      <c r="K235" s="135"/>
      <c r="L235" s="133"/>
      <c r="M235" s="126"/>
      <c r="N235" s="127"/>
      <c r="O235" s="23"/>
    </row>
    <row r="236" spans="2:15" ht="11.25" customHeight="1">
      <c r="B236" s="161"/>
      <c r="C236" s="128"/>
      <c r="D236" s="144"/>
      <c r="E236" s="144"/>
      <c r="F236" s="128"/>
      <c r="G236" s="129"/>
      <c r="H236" s="140"/>
      <c r="I236" s="133"/>
      <c r="J236" s="133"/>
      <c r="K236" s="136"/>
      <c r="L236" s="133"/>
      <c r="M236" s="126"/>
      <c r="N236" s="127"/>
      <c r="O236" s="23"/>
    </row>
    <row r="237" spans="2:15" ht="5.25" customHeight="1" hidden="1">
      <c r="B237" s="161"/>
      <c r="C237" s="128"/>
      <c r="D237" s="144"/>
      <c r="E237" s="144"/>
      <c r="F237" s="128"/>
      <c r="G237" s="129"/>
      <c r="H237" s="140"/>
      <c r="I237" s="79">
        <f>$N237*1.05</f>
        <v>0</v>
      </c>
      <c r="J237" s="79">
        <f>I237*1.05</f>
        <v>0</v>
      </c>
      <c r="K237" s="103">
        <f>J237*1.05</f>
        <v>0</v>
      </c>
      <c r="L237" s="103">
        <f aca="true" t="shared" si="17" ref="L237:L244">K237*1.2</f>
        <v>0</v>
      </c>
      <c r="M237" s="126"/>
      <c r="N237" s="127"/>
      <c r="O237" s="23"/>
    </row>
    <row r="238" spans="2:15" ht="9.75" customHeight="1" hidden="1">
      <c r="B238" s="161"/>
      <c r="C238" s="128"/>
      <c r="D238" s="144"/>
      <c r="E238" s="144"/>
      <c r="F238" s="128"/>
      <c r="G238" s="129"/>
      <c r="H238" s="140"/>
      <c r="I238" s="79">
        <f>$N238*1.05</f>
        <v>0</v>
      </c>
      <c r="J238" s="79">
        <f>I238*1.05</f>
        <v>0</v>
      </c>
      <c r="K238" s="103">
        <f>J238*1.05</f>
        <v>0</v>
      </c>
      <c r="L238" s="103">
        <f t="shared" si="17"/>
        <v>0</v>
      </c>
      <c r="M238" s="126"/>
      <c r="N238" s="127"/>
      <c r="O238" s="23"/>
    </row>
    <row r="239" spans="2:16" ht="10.5" customHeight="1">
      <c r="B239" s="161">
        <v>19</v>
      </c>
      <c r="C239" s="128" t="s">
        <v>56</v>
      </c>
      <c r="D239" s="162" t="s">
        <v>57</v>
      </c>
      <c r="E239" s="144"/>
      <c r="F239" s="128">
        <v>14.8</v>
      </c>
      <c r="G239" s="129" t="s">
        <v>22</v>
      </c>
      <c r="H239" s="86" t="s">
        <v>14</v>
      </c>
      <c r="I239" s="79">
        <f aca="true" t="shared" si="18" ref="I239:I244">$N239*1.05*1.05*1.05*1.05</f>
        <v>46.02271314375001</v>
      </c>
      <c r="J239" s="79">
        <v>54.87535460212462</v>
      </c>
      <c r="K239" s="79">
        <f aca="true" t="shared" si="19" ref="K239:K255">J239*1.03</f>
        <v>56.52161524018835</v>
      </c>
      <c r="L239" s="79">
        <f t="shared" si="17"/>
        <v>67.82593828822603</v>
      </c>
      <c r="M239" s="9"/>
      <c r="N239" s="56">
        <v>37.86300000000001</v>
      </c>
      <c r="P239" s="18"/>
    </row>
    <row r="240" spans="2:16" ht="15" customHeight="1">
      <c r="B240" s="161"/>
      <c r="C240" s="128"/>
      <c r="D240" s="162"/>
      <c r="E240" s="144"/>
      <c r="F240" s="128"/>
      <c r="G240" s="129"/>
      <c r="H240" s="86" t="s">
        <v>15</v>
      </c>
      <c r="I240" s="79">
        <f t="shared" si="18"/>
        <v>53.61658844062501</v>
      </c>
      <c r="J240" s="79">
        <v>63.92994028938589</v>
      </c>
      <c r="K240" s="79">
        <f t="shared" si="19"/>
        <v>65.84783849806747</v>
      </c>
      <c r="L240" s="79">
        <f t="shared" si="17"/>
        <v>79.01740619768097</v>
      </c>
      <c r="M240" s="9"/>
      <c r="N240" s="8">
        <v>44.1105</v>
      </c>
      <c r="P240" s="18"/>
    </row>
    <row r="241" spans="2:16" ht="14.25" customHeight="1">
      <c r="B241" s="161"/>
      <c r="C241" s="128"/>
      <c r="D241" s="162"/>
      <c r="E241" s="144"/>
      <c r="F241" s="128"/>
      <c r="G241" s="129"/>
      <c r="H241" s="104" t="s">
        <v>85</v>
      </c>
      <c r="I241" s="79">
        <f t="shared" si="18"/>
        <v>58.56856090312501</v>
      </c>
      <c r="J241" s="79">
        <v>69.83444322494451</v>
      </c>
      <c r="K241" s="79">
        <f t="shared" si="19"/>
        <v>71.92947652169285</v>
      </c>
      <c r="L241" s="79">
        <f t="shared" si="17"/>
        <v>86.31537182603141</v>
      </c>
      <c r="M241" s="9"/>
      <c r="N241" s="8">
        <v>48.1845</v>
      </c>
      <c r="P241" s="18"/>
    </row>
    <row r="242" spans="2:16" ht="13.5" customHeight="1">
      <c r="B242" s="161"/>
      <c r="C242" s="128"/>
      <c r="D242" s="162"/>
      <c r="E242" s="144"/>
      <c r="F242" s="128"/>
      <c r="G242" s="129"/>
      <c r="H242" s="86" t="s">
        <v>93</v>
      </c>
      <c r="I242" s="79">
        <f t="shared" si="18"/>
        <v>60.71271392812501</v>
      </c>
      <c r="J242" s="79">
        <v>72.3910321248771</v>
      </c>
      <c r="K242" s="79">
        <f t="shared" si="19"/>
        <v>74.56276308862341</v>
      </c>
      <c r="L242" s="79">
        <f t="shared" si="17"/>
        <v>89.4753157063481</v>
      </c>
      <c r="M242" s="9"/>
      <c r="N242" s="8">
        <v>49.9485</v>
      </c>
      <c r="P242" s="18"/>
    </row>
    <row r="243" spans="2:16" ht="12" customHeight="1">
      <c r="B243" s="161"/>
      <c r="C243" s="128"/>
      <c r="D243" s="162"/>
      <c r="E243" s="144"/>
      <c r="F243" s="128"/>
      <c r="G243" s="129"/>
      <c r="H243" s="86" t="s">
        <v>16</v>
      </c>
      <c r="I243" s="79">
        <f t="shared" si="18"/>
        <v>79.05287998125003</v>
      </c>
      <c r="J243" s="79">
        <v>94.25899789394343</v>
      </c>
      <c r="K243" s="79">
        <f t="shared" si="19"/>
        <v>97.08676783076173</v>
      </c>
      <c r="L243" s="79">
        <f t="shared" si="17"/>
        <v>116.50412139691407</v>
      </c>
      <c r="M243" s="9"/>
      <c r="N243" s="8">
        <v>65.037</v>
      </c>
      <c r="P243" s="18"/>
    </row>
    <row r="244" spans="2:14" ht="11.25" customHeight="1">
      <c r="B244" s="161"/>
      <c r="C244" s="128"/>
      <c r="D244" s="162"/>
      <c r="E244" s="144"/>
      <c r="F244" s="128"/>
      <c r="G244" s="129"/>
      <c r="H244" s="86" t="s">
        <v>103</v>
      </c>
      <c r="I244" s="79">
        <f t="shared" si="18"/>
        <v>78.529604540625</v>
      </c>
      <c r="J244" s="79">
        <v>93.63506846003126</v>
      </c>
      <c r="K244" s="79">
        <f t="shared" si="19"/>
        <v>96.4441205138322</v>
      </c>
      <c r="L244" s="79">
        <f t="shared" si="17"/>
        <v>115.73294461659864</v>
      </c>
      <c r="M244" s="9"/>
      <c r="N244" s="8">
        <v>64.6065</v>
      </c>
    </row>
    <row r="245" spans="2:14" ht="27" customHeight="1">
      <c r="B245" s="11" t="s">
        <v>58</v>
      </c>
      <c r="C245" s="62"/>
      <c r="D245" s="62"/>
      <c r="E245" s="62"/>
      <c r="F245" s="62"/>
      <c r="G245" s="64"/>
      <c r="H245" s="63"/>
      <c r="I245" s="105"/>
      <c r="J245" s="101"/>
      <c r="K245" s="101"/>
      <c r="L245" s="101"/>
      <c r="M245" s="20"/>
      <c r="N245" s="1"/>
    </row>
    <row r="246" spans="2:16" ht="15" customHeight="1">
      <c r="B246" s="161">
        <v>20</v>
      </c>
      <c r="C246" s="128" t="s">
        <v>59</v>
      </c>
      <c r="D246" s="144" t="s">
        <v>60</v>
      </c>
      <c r="E246" s="144"/>
      <c r="F246" s="128">
        <v>13</v>
      </c>
      <c r="G246" s="129" t="s">
        <v>22</v>
      </c>
      <c r="H246" s="86" t="s">
        <v>14</v>
      </c>
      <c r="I246" s="79">
        <f>42.14*1.05*1.05*1.05</f>
        <v>48.782317500000005</v>
      </c>
      <c r="J246" s="79">
        <v>55.39598019506251</v>
      </c>
      <c r="K246" s="79">
        <f t="shared" si="19"/>
        <v>57.05785960091439</v>
      </c>
      <c r="L246" s="79">
        <f aca="true" t="shared" si="20" ref="L246:L255">K246*1.2</f>
        <v>68.46943152109726</v>
      </c>
      <c r="M246" s="9"/>
      <c r="N246" s="8">
        <v>42.147000000000006</v>
      </c>
      <c r="P246" s="18"/>
    </row>
    <row r="247" spans="2:16" ht="13.5" customHeight="1">
      <c r="B247" s="161"/>
      <c r="C247" s="128"/>
      <c r="D247" s="144"/>
      <c r="E247" s="144"/>
      <c r="F247" s="128"/>
      <c r="G247" s="129"/>
      <c r="H247" s="86" t="s">
        <v>15</v>
      </c>
      <c r="I247" s="79">
        <f>50.37*1.05*1.05*1.05</f>
        <v>58.30957125000001</v>
      </c>
      <c r="J247" s="79">
        <v>66.21489137221877</v>
      </c>
      <c r="K247" s="79">
        <f t="shared" si="19"/>
        <v>68.20133811338533</v>
      </c>
      <c r="L247" s="79">
        <f t="shared" si="20"/>
        <v>81.84160573606239</v>
      </c>
      <c r="M247" s="9"/>
      <c r="N247" s="8">
        <v>50.3685</v>
      </c>
      <c r="P247" s="18"/>
    </row>
    <row r="248" spans="2:16" ht="12.75" customHeight="1">
      <c r="B248" s="161"/>
      <c r="C248" s="128"/>
      <c r="D248" s="144"/>
      <c r="E248" s="144"/>
      <c r="F248" s="128"/>
      <c r="G248" s="129"/>
      <c r="H248" s="86" t="s">
        <v>85</v>
      </c>
      <c r="I248" s="79">
        <f>55.58*1.05*1.05*1.05</f>
        <v>64.34079750000001</v>
      </c>
      <c r="J248" s="79">
        <v>73.06380112106251</v>
      </c>
      <c r="K248" s="79">
        <f t="shared" si="19"/>
        <v>75.25571515469439</v>
      </c>
      <c r="L248" s="79">
        <f t="shared" si="20"/>
        <v>90.30685818563326</v>
      </c>
      <c r="M248" s="9"/>
      <c r="N248" s="8">
        <v>55.5765</v>
      </c>
      <c r="P248" s="18"/>
    </row>
    <row r="249" spans="2:16" ht="13.5" customHeight="1">
      <c r="B249" s="161"/>
      <c r="C249" s="128"/>
      <c r="D249" s="144"/>
      <c r="E249" s="144"/>
      <c r="F249" s="128"/>
      <c r="G249" s="129"/>
      <c r="H249" s="86" t="s">
        <v>16</v>
      </c>
      <c r="I249" s="79">
        <f aca="true" t="shared" si="21" ref="I249:I255">$N249*1.05*1.05*1.05*1.05</f>
        <v>89.64601695</v>
      </c>
      <c r="J249" s="79">
        <v>101.79977569799625</v>
      </c>
      <c r="K249" s="79">
        <f t="shared" si="19"/>
        <v>104.85376896893614</v>
      </c>
      <c r="L249" s="79">
        <f t="shared" si="20"/>
        <v>125.82452276272336</v>
      </c>
      <c r="M249" s="9"/>
      <c r="N249" s="8">
        <v>73.752</v>
      </c>
      <c r="P249" s="18"/>
    </row>
    <row r="250" spans="2:16" ht="13.5" customHeight="1">
      <c r="B250" s="161"/>
      <c r="C250" s="128"/>
      <c r="D250" s="144"/>
      <c r="E250" s="144"/>
      <c r="F250" s="128"/>
      <c r="G250" s="129"/>
      <c r="H250" s="86" t="s">
        <v>93</v>
      </c>
      <c r="I250" s="79">
        <f t="shared" si="21"/>
        <v>69.55734515625002</v>
      </c>
      <c r="J250" s="79">
        <v>78.98758222580862</v>
      </c>
      <c r="K250" s="79">
        <f t="shared" si="19"/>
        <v>81.35720969258288</v>
      </c>
      <c r="L250" s="79">
        <f t="shared" si="20"/>
        <v>97.62865163109946</v>
      </c>
      <c r="M250" s="9"/>
      <c r="N250" s="8">
        <v>57.225</v>
      </c>
      <c r="P250" s="18"/>
    </row>
    <row r="251" spans="2:16" ht="12" customHeight="1">
      <c r="B251" s="161"/>
      <c r="C251" s="128"/>
      <c r="D251" s="144"/>
      <c r="E251" s="144"/>
      <c r="F251" s="128"/>
      <c r="G251" s="129"/>
      <c r="H251" s="86" t="s">
        <v>94</v>
      </c>
      <c r="I251" s="79">
        <f t="shared" si="21"/>
        <v>70.36140254062502</v>
      </c>
      <c r="J251" s="79">
        <v>79.90064969007025</v>
      </c>
      <c r="K251" s="79">
        <f t="shared" si="19"/>
        <v>82.29766918077236</v>
      </c>
      <c r="L251" s="79">
        <f t="shared" si="20"/>
        <v>98.75720301692682</v>
      </c>
      <c r="M251" s="9"/>
      <c r="N251" s="8">
        <v>57.886500000000005</v>
      </c>
      <c r="P251" s="18"/>
    </row>
    <row r="252" spans="2:16" ht="12" customHeight="1">
      <c r="B252" s="161"/>
      <c r="C252" s="128"/>
      <c r="D252" s="144"/>
      <c r="E252" s="144"/>
      <c r="F252" s="128"/>
      <c r="G252" s="129"/>
      <c r="H252" s="86" t="s">
        <v>103</v>
      </c>
      <c r="I252" s="79">
        <f t="shared" si="21"/>
        <v>87.38699858437502</v>
      </c>
      <c r="J252" s="79">
        <v>99.23449091745168</v>
      </c>
      <c r="K252" s="79">
        <f t="shared" si="19"/>
        <v>102.21152564497524</v>
      </c>
      <c r="L252" s="79">
        <f t="shared" si="20"/>
        <v>122.65383077397028</v>
      </c>
      <c r="M252" s="9"/>
      <c r="N252" s="8">
        <v>71.8935</v>
      </c>
      <c r="P252" s="18"/>
    </row>
    <row r="253" spans="2:16" ht="13.5" customHeight="1">
      <c r="B253" s="161"/>
      <c r="C253" s="128"/>
      <c r="D253" s="144"/>
      <c r="E253" s="144"/>
      <c r="F253" s="128"/>
      <c r="G253" s="129"/>
      <c r="H253" s="86" t="s">
        <v>95</v>
      </c>
      <c r="I253" s="79">
        <f t="shared" si="21"/>
        <v>93.53867571562502</v>
      </c>
      <c r="J253" s="79">
        <v>106.2201816757709</v>
      </c>
      <c r="K253" s="79">
        <f t="shared" si="19"/>
        <v>109.40678712604404</v>
      </c>
      <c r="L253" s="79">
        <f t="shared" si="20"/>
        <v>131.28814455125283</v>
      </c>
      <c r="M253" s="9"/>
      <c r="N253" s="8">
        <v>76.95450000000001</v>
      </c>
      <c r="P253" s="18"/>
    </row>
    <row r="254" spans="2:16" ht="25.5" customHeight="1">
      <c r="B254" s="161">
        <v>21</v>
      </c>
      <c r="C254" s="128" t="s">
        <v>105</v>
      </c>
      <c r="D254" s="144" t="s">
        <v>98</v>
      </c>
      <c r="E254" s="144"/>
      <c r="F254" s="128">
        <v>4.3</v>
      </c>
      <c r="G254" s="177" t="s">
        <v>106</v>
      </c>
      <c r="H254" s="86" t="s">
        <v>14</v>
      </c>
      <c r="I254" s="79">
        <f t="shared" si="21"/>
        <v>15.825891375000001</v>
      </c>
      <c r="J254" s="79">
        <v>17.97148659816563</v>
      </c>
      <c r="K254" s="79">
        <f t="shared" si="19"/>
        <v>18.510631196110598</v>
      </c>
      <c r="L254" s="79">
        <f t="shared" si="20"/>
        <v>22.212757435332716</v>
      </c>
      <c r="M254" s="9"/>
      <c r="N254" s="8">
        <v>13.02</v>
      </c>
      <c r="P254" s="18"/>
    </row>
    <row r="255" spans="2:16" ht="35.25" customHeight="1">
      <c r="B255" s="161"/>
      <c r="C255" s="128"/>
      <c r="D255" s="144"/>
      <c r="E255" s="144"/>
      <c r="F255" s="128"/>
      <c r="G255" s="178"/>
      <c r="H255" s="86" t="s">
        <v>104</v>
      </c>
      <c r="I255" s="79">
        <f t="shared" si="21"/>
        <v>16.482264750000002</v>
      </c>
      <c r="J255" s="79">
        <v>18.716847793481254</v>
      </c>
      <c r="K255" s="79">
        <f t="shared" si="19"/>
        <v>19.27835322728569</v>
      </c>
      <c r="L255" s="79">
        <f t="shared" si="20"/>
        <v>23.13402387274283</v>
      </c>
      <c r="M255" s="9"/>
      <c r="N255" s="8">
        <v>13.56</v>
      </c>
      <c r="P255" s="18"/>
    </row>
    <row r="256" spans="2:16" ht="3.75" customHeight="1">
      <c r="B256" s="65"/>
      <c r="C256" s="50"/>
      <c r="D256" s="51"/>
      <c r="E256" s="51"/>
      <c r="F256" s="50"/>
      <c r="G256" s="52"/>
      <c r="H256" s="106"/>
      <c r="I256" s="107"/>
      <c r="J256" s="107"/>
      <c r="K256" s="107"/>
      <c r="L256" s="108"/>
      <c r="M256" s="9"/>
      <c r="N256" s="15"/>
      <c r="P256" s="18"/>
    </row>
    <row r="257" spans="2:12" ht="26.25" customHeight="1">
      <c r="B257" s="160" t="s">
        <v>96</v>
      </c>
      <c r="C257" s="160"/>
      <c r="D257" s="160"/>
      <c r="E257" s="160"/>
      <c r="F257" s="160"/>
      <c r="G257" s="160"/>
      <c r="H257" s="160"/>
      <c r="I257" s="160"/>
      <c r="J257" s="160"/>
      <c r="K257" s="160"/>
      <c r="L257" s="160"/>
    </row>
    <row r="258" spans="2:18" s="20" customFormat="1" ht="63.75" customHeight="1">
      <c r="B258" s="66"/>
      <c r="C258" s="57" t="s">
        <v>5</v>
      </c>
      <c r="D258" s="49" t="s">
        <v>121</v>
      </c>
      <c r="E258" s="66" t="s">
        <v>7</v>
      </c>
      <c r="F258" s="67" t="s">
        <v>8</v>
      </c>
      <c r="G258" s="32" t="s">
        <v>122</v>
      </c>
      <c r="H258" s="109" t="s">
        <v>72</v>
      </c>
      <c r="I258" s="68" t="s">
        <v>76</v>
      </c>
      <c r="J258" s="68" t="s">
        <v>76</v>
      </c>
      <c r="K258" s="68" t="s">
        <v>76</v>
      </c>
      <c r="L258" s="69" t="s">
        <v>77</v>
      </c>
      <c r="N258" s="24"/>
      <c r="O258" s="23"/>
      <c r="P258" s="23"/>
      <c r="Q258" s="22"/>
      <c r="R258" s="22"/>
    </row>
    <row r="259" spans="2:18" s="20" customFormat="1" ht="63" customHeight="1" hidden="1">
      <c r="B259" s="66"/>
      <c r="C259" s="32"/>
      <c r="D259" s="66"/>
      <c r="E259" s="66"/>
      <c r="F259" s="70"/>
      <c r="G259" s="71"/>
      <c r="H259" s="110"/>
      <c r="I259" s="111"/>
      <c r="J259" s="111"/>
      <c r="K259" s="111"/>
      <c r="L259" s="112"/>
      <c r="N259" s="25"/>
      <c r="O259" s="23"/>
      <c r="P259" s="23"/>
      <c r="Q259" s="22"/>
      <c r="R259" s="22"/>
    </row>
    <row r="260" spans="2:18" s="20" customFormat="1" ht="79.5" customHeight="1">
      <c r="B260" s="31">
        <v>22</v>
      </c>
      <c r="C260" s="32" t="s">
        <v>79</v>
      </c>
      <c r="D260" s="32" t="s">
        <v>101</v>
      </c>
      <c r="E260" s="74"/>
      <c r="F260" s="66">
        <v>11.7</v>
      </c>
      <c r="G260" s="72" t="s">
        <v>13</v>
      </c>
      <c r="H260" s="110" t="s">
        <v>14</v>
      </c>
      <c r="I260" s="113">
        <v>56.31</v>
      </c>
      <c r="J260" s="114">
        <v>70.9773</v>
      </c>
      <c r="K260" s="83">
        <f>J260*1.03</f>
        <v>73.106619</v>
      </c>
      <c r="L260" s="114">
        <f>K260*1.2</f>
        <v>87.7279428</v>
      </c>
      <c r="M260" s="9"/>
      <c r="N260" s="53">
        <f>42.71+42.71*10/100</f>
        <v>46.981</v>
      </c>
      <c r="O260" s="23"/>
      <c r="P260" s="23"/>
      <c r="Q260" s="22"/>
      <c r="R260" s="22"/>
    </row>
    <row r="261" spans="2:18" s="20" customFormat="1" ht="76.5" customHeight="1">
      <c r="B261" s="33">
        <v>23</v>
      </c>
      <c r="C261" s="59" t="s">
        <v>97</v>
      </c>
      <c r="D261" s="60" t="s">
        <v>102</v>
      </c>
      <c r="E261" s="75"/>
      <c r="F261" s="76">
        <v>5.9</v>
      </c>
      <c r="G261" s="73" t="s">
        <v>19</v>
      </c>
      <c r="H261" s="111" t="s">
        <v>14</v>
      </c>
      <c r="I261" s="115">
        <f>29.1*1.05*1.05</f>
        <v>32.082750000000004</v>
      </c>
      <c r="J261" s="114">
        <v>40.439929402687504</v>
      </c>
      <c r="K261" s="83">
        <f>J261*1.03</f>
        <v>41.65312728476813</v>
      </c>
      <c r="L261" s="114">
        <f>K261*1.2</f>
        <v>49.98375274172176</v>
      </c>
      <c r="N261" s="54">
        <f>21.81+21.81*10/100</f>
        <v>23.991</v>
      </c>
      <c r="O261" s="23"/>
      <c r="P261" s="23"/>
      <c r="Q261" s="22"/>
      <c r="R261" s="22"/>
    </row>
    <row r="262" spans="2:18" s="20" customFormat="1" ht="76.5" customHeight="1">
      <c r="B262" s="33">
        <v>24</v>
      </c>
      <c r="C262" s="32" t="s">
        <v>120</v>
      </c>
      <c r="D262" s="32" t="s">
        <v>123</v>
      </c>
      <c r="E262" s="74"/>
      <c r="F262" s="66">
        <v>14.8</v>
      </c>
      <c r="G262" s="77" t="s">
        <v>13</v>
      </c>
      <c r="H262" s="110" t="s">
        <v>14</v>
      </c>
      <c r="I262" s="113">
        <f>55.92*1.05*1.05</f>
        <v>61.6518</v>
      </c>
      <c r="J262" s="114">
        <v>70.01024278500002</v>
      </c>
      <c r="K262" s="83">
        <v>90.14</v>
      </c>
      <c r="L262" s="114">
        <f>K262*1.2</f>
        <v>108.16799999999999</v>
      </c>
      <c r="N262" s="58"/>
      <c r="O262" s="23"/>
      <c r="P262" s="23"/>
      <c r="Q262" s="22"/>
      <c r="R262" s="22"/>
    </row>
    <row r="263" spans="2:18" s="20" customFormat="1" ht="76.5" customHeight="1">
      <c r="B263" s="33">
        <v>25</v>
      </c>
      <c r="C263" s="32" t="s">
        <v>124</v>
      </c>
      <c r="D263" s="32" t="s">
        <v>125</v>
      </c>
      <c r="E263" s="78"/>
      <c r="F263" s="66">
        <v>8</v>
      </c>
      <c r="G263" s="72" t="s">
        <v>22</v>
      </c>
      <c r="H263" s="110" t="s">
        <v>14</v>
      </c>
      <c r="I263" s="113">
        <f>45.45*1.05</f>
        <v>47.722500000000004</v>
      </c>
      <c r="J263" s="114">
        <v>54.19247793750001</v>
      </c>
      <c r="K263" s="83">
        <f>J263*1.03</f>
        <v>55.818252275625014</v>
      </c>
      <c r="L263" s="114">
        <f>K263*1.2</f>
        <v>66.98190273075001</v>
      </c>
      <c r="N263" s="58"/>
      <c r="O263" s="23"/>
      <c r="P263" s="23"/>
      <c r="Q263" s="22"/>
      <c r="R263" s="22"/>
    </row>
    <row r="264" spans="2:18" s="20" customFormat="1" ht="79.5" customHeight="1">
      <c r="B264" s="31">
        <v>26</v>
      </c>
      <c r="C264" s="32" t="s">
        <v>79</v>
      </c>
      <c r="D264" s="32" t="s">
        <v>142</v>
      </c>
      <c r="E264" s="74"/>
      <c r="F264" s="66">
        <v>15</v>
      </c>
      <c r="G264" s="72" t="s">
        <v>13</v>
      </c>
      <c r="H264" s="110" t="s">
        <v>14</v>
      </c>
      <c r="I264" s="113">
        <v>56.31</v>
      </c>
      <c r="J264" s="114">
        <v>70.9773</v>
      </c>
      <c r="K264" s="83">
        <v>64.17</v>
      </c>
      <c r="L264" s="114">
        <f>K264*1.2</f>
        <v>77.004</v>
      </c>
      <c r="M264" s="9"/>
      <c r="N264" s="53">
        <f>42.71+42.71*10/100</f>
        <v>46.981</v>
      </c>
      <c r="O264" s="23"/>
      <c r="P264" s="23"/>
      <c r="Q264" s="22"/>
      <c r="R264" s="22"/>
    </row>
    <row r="265" spans="3:18" s="20" customFormat="1" ht="12.75" customHeight="1">
      <c r="C265" s="61"/>
      <c r="G265" s="21"/>
      <c r="H265" s="116"/>
      <c r="I265" s="116"/>
      <c r="J265" s="116"/>
      <c r="K265" s="116"/>
      <c r="L265" s="117"/>
      <c r="N265" s="25"/>
      <c r="O265" s="23"/>
      <c r="P265" s="23"/>
      <c r="Q265" s="22"/>
      <c r="R265" s="22"/>
    </row>
    <row r="266" spans="3:18" s="20" customFormat="1" ht="12.75" customHeight="1">
      <c r="C266" s="61"/>
      <c r="G266" s="21"/>
      <c r="H266" s="116"/>
      <c r="I266" s="116"/>
      <c r="J266" s="116"/>
      <c r="K266" s="116"/>
      <c r="L266" s="117"/>
      <c r="M266" s="27"/>
      <c r="N266" s="23"/>
      <c r="O266" s="23"/>
      <c r="P266" s="23"/>
      <c r="Q266" s="22"/>
      <c r="R266" s="22"/>
    </row>
    <row r="267" spans="3:12" ht="12.75" customHeight="1">
      <c r="C267" s="27" t="s">
        <v>100</v>
      </c>
      <c r="D267" s="27"/>
      <c r="E267" s="27"/>
      <c r="F267" s="27"/>
      <c r="G267" s="28"/>
      <c r="H267" s="85"/>
      <c r="I267" s="85"/>
      <c r="J267" s="85"/>
      <c r="K267" s="85"/>
      <c r="L267" s="118"/>
    </row>
    <row r="268" ht="12.75" customHeight="1"/>
    <row r="269" ht="8.25" customHeight="1" hidden="1"/>
    <row r="271" spans="3:8" ht="12.75">
      <c r="C271" s="159" t="s">
        <v>83</v>
      </c>
      <c r="D271" s="159"/>
      <c r="E271" s="159"/>
      <c r="F271" s="26"/>
      <c r="G271" s="26" t="s">
        <v>82</v>
      </c>
      <c r="H271" s="119"/>
    </row>
    <row r="272" spans="3:8" ht="12.75">
      <c r="C272" s="62" t="s">
        <v>135</v>
      </c>
      <c r="D272" s="26"/>
      <c r="E272" s="26"/>
      <c r="F272" s="26"/>
      <c r="G272" s="29"/>
      <c r="H272" s="120"/>
    </row>
    <row r="273" spans="3:8" ht="15" customHeight="1">
      <c r="C273" s="26"/>
      <c r="D273" s="26"/>
      <c r="E273" s="26"/>
      <c r="F273" s="26"/>
      <c r="G273" s="29"/>
      <c r="H273" s="120"/>
    </row>
    <row r="274" spans="3:8" ht="12.75" hidden="1">
      <c r="C274" s="26"/>
      <c r="D274" s="26"/>
      <c r="E274" s="26"/>
      <c r="F274" s="26"/>
      <c r="G274" s="29"/>
      <c r="H274" s="120"/>
    </row>
    <row r="276" ht="12" customHeight="1"/>
    <row r="278" ht="12.75" hidden="1"/>
  </sheetData>
  <sheetProtection/>
  <mergeCells count="142">
    <mergeCell ref="F127:F141"/>
    <mergeCell ref="G127:G141"/>
    <mergeCell ref="G94:G108"/>
    <mergeCell ref="F94:F108"/>
    <mergeCell ref="G109:G126"/>
    <mergeCell ref="G42:G51"/>
    <mergeCell ref="G62:G66"/>
    <mergeCell ref="F74:F93"/>
    <mergeCell ref="F18:F30"/>
    <mergeCell ref="G18:G30"/>
    <mergeCell ref="G74:G93"/>
    <mergeCell ref="F52:F56"/>
    <mergeCell ref="G52:G56"/>
    <mergeCell ref="F57:F61"/>
    <mergeCell ref="G57:G61"/>
    <mergeCell ref="E42:E51"/>
    <mergeCell ref="D31:D41"/>
    <mergeCell ref="E31:E41"/>
    <mergeCell ref="G254:G255"/>
    <mergeCell ref="E127:E141"/>
    <mergeCell ref="F246:F253"/>
    <mergeCell ref="F31:F41"/>
    <mergeCell ref="G31:G41"/>
    <mergeCell ref="F62:F66"/>
    <mergeCell ref="F42:F51"/>
    <mergeCell ref="B57:B61"/>
    <mergeCell ref="C57:C61"/>
    <mergeCell ref="B18:B30"/>
    <mergeCell ref="C18:C30"/>
    <mergeCell ref="B31:B41"/>
    <mergeCell ref="C31:C41"/>
    <mergeCell ref="D18:D30"/>
    <mergeCell ref="E18:E30"/>
    <mergeCell ref="D57:D61"/>
    <mergeCell ref="B42:B51"/>
    <mergeCell ref="C42:C51"/>
    <mergeCell ref="D42:D51"/>
    <mergeCell ref="D52:D56"/>
    <mergeCell ref="B52:B56"/>
    <mergeCell ref="C52:C56"/>
    <mergeCell ref="E52:E56"/>
    <mergeCell ref="B11:L11"/>
    <mergeCell ref="B15:B16"/>
    <mergeCell ref="C15:C16"/>
    <mergeCell ref="D15:D16"/>
    <mergeCell ref="E15:E16"/>
    <mergeCell ref="I15:L15"/>
    <mergeCell ref="F15:F16"/>
    <mergeCell ref="G15:G16"/>
    <mergeCell ref="H15:H16"/>
    <mergeCell ref="D109:D126"/>
    <mergeCell ref="E109:E126"/>
    <mergeCell ref="E57:E61"/>
    <mergeCell ref="G67:G71"/>
    <mergeCell ref="D67:D71"/>
    <mergeCell ref="E67:E71"/>
    <mergeCell ref="F67:F71"/>
    <mergeCell ref="D62:D66"/>
    <mergeCell ref="E62:E66"/>
    <mergeCell ref="F109:F126"/>
    <mergeCell ref="B62:B66"/>
    <mergeCell ref="C62:C66"/>
    <mergeCell ref="B74:B93"/>
    <mergeCell ref="B109:B126"/>
    <mergeCell ref="C109:C126"/>
    <mergeCell ref="B67:B71"/>
    <mergeCell ref="C67:C71"/>
    <mergeCell ref="E74:E93"/>
    <mergeCell ref="C74:C93"/>
    <mergeCell ref="B94:B108"/>
    <mergeCell ref="C94:C108"/>
    <mergeCell ref="D94:D108"/>
    <mergeCell ref="E94:E108"/>
    <mergeCell ref="D74:D93"/>
    <mergeCell ref="B185:B201"/>
    <mergeCell ref="C185:C201"/>
    <mergeCell ref="B202:B214"/>
    <mergeCell ref="E164:E184"/>
    <mergeCell ref="C164:C184"/>
    <mergeCell ref="D142:D163"/>
    <mergeCell ref="E142:E163"/>
    <mergeCell ref="D164:D184"/>
    <mergeCell ref="B164:B184"/>
    <mergeCell ref="C202:C214"/>
    <mergeCell ref="G239:G244"/>
    <mergeCell ref="C232:C238"/>
    <mergeCell ref="B239:B244"/>
    <mergeCell ref="C239:C244"/>
    <mergeCell ref="B232:B238"/>
    <mergeCell ref="B127:B141"/>
    <mergeCell ref="C127:C141"/>
    <mergeCell ref="D127:D141"/>
    <mergeCell ref="D239:D244"/>
    <mergeCell ref="D232:D238"/>
    <mergeCell ref="C271:E271"/>
    <mergeCell ref="B257:L257"/>
    <mergeCell ref="B246:B253"/>
    <mergeCell ref="C246:C253"/>
    <mergeCell ref="G246:G253"/>
    <mergeCell ref="B254:B255"/>
    <mergeCell ref="C254:C255"/>
    <mergeCell ref="D254:D255"/>
    <mergeCell ref="E254:E255"/>
    <mergeCell ref="F254:F255"/>
    <mergeCell ref="C1:G2"/>
    <mergeCell ref="B10:L10"/>
    <mergeCell ref="D246:D253"/>
    <mergeCell ref="E246:E253"/>
    <mergeCell ref="F13:L13"/>
    <mergeCell ref="B142:B163"/>
    <mergeCell ref="C142:C163"/>
    <mergeCell ref="E239:E244"/>
    <mergeCell ref="B217:B230"/>
    <mergeCell ref="F239:F244"/>
    <mergeCell ref="G142:G163"/>
    <mergeCell ref="G185:G201"/>
    <mergeCell ref="F217:F230"/>
    <mergeCell ref="F202:F214"/>
    <mergeCell ref="F185:F201"/>
    <mergeCell ref="F142:F163"/>
    <mergeCell ref="G202:G214"/>
    <mergeCell ref="G164:G184"/>
    <mergeCell ref="G217:G230"/>
    <mergeCell ref="D202:D214"/>
    <mergeCell ref="F164:F184"/>
    <mergeCell ref="I232:I236"/>
    <mergeCell ref="H232:H238"/>
    <mergeCell ref="C217:C230"/>
    <mergeCell ref="D217:D230"/>
    <mergeCell ref="E217:E230"/>
    <mergeCell ref="D185:D201"/>
    <mergeCell ref="E185:E201"/>
    <mergeCell ref="E232:E238"/>
    <mergeCell ref="E202:E214"/>
    <mergeCell ref="N232:N238"/>
    <mergeCell ref="F232:F238"/>
    <mergeCell ref="G232:G238"/>
    <mergeCell ref="M232:M238"/>
    <mergeCell ref="M217:M230"/>
    <mergeCell ref="J232:J236"/>
    <mergeCell ref="L232:L236"/>
    <mergeCell ref="K232:K236"/>
  </mergeCells>
  <printOptions horizontalCentered="1"/>
  <pageMargins left="0.4724409448818898" right="0.1968503937007874" top="0.1968503937007874" bottom="0.1968503937007874" header="0" footer="0"/>
  <pageSetup horizontalDpi="600" verticalDpi="600" orientation="portrait" paperSize="9" scale="85" r:id="rId4"/>
  <rowBreaks count="4" manualBreakCount="4">
    <brk id="72" max="255" man="1"/>
    <brk id="141" min="1" max="12" man="1"/>
    <brk id="214" min="1" max="12" man="1"/>
    <brk id="256" min="1" max="12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1"/>
  <sheetViews>
    <sheetView zoomScalePageLayoutView="0" workbookViewId="0" topLeftCell="A1">
      <selection activeCell="N6" sqref="N6"/>
    </sheetView>
  </sheetViews>
  <sheetFormatPr defaultColWidth="9.140625" defaultRowHeight="12.75"/>
  <cols>
    <col min="10" max="10" width="27.28125" style="0" customWidth="1"/>
  </cols>
  <sheetData>
    <row r="2" spans="2:9" ht="15.75" customHeight="1">
      <c r="B2" s="181" t="s">
        <v>74</v>
      </c>
      <c r="C2" s="181"/>
      <c r="D2" s="181"/>
      <c r="E2" s="181"/>
      <c r="F2" s="181"/>
      <c r="G2" s="181"/>
      <c r="H2" s="181"/>
      <c r="I2" s="12"/>
    </row>
    <row r="3" spans="2:9" ht="15.75">
      <c r="B3" s="181" t="s">
        <v>62</v>
      </c>
      <c r="C3" s="181"/>
      <c r="D3" s="181"/>
      <c r="E3" s="181"/>
      <c r="F3" s="181"/>
      <c r="G3" s="181"/>
      <c r="H3" s="181"/>
      <c r="I3" s="12"/>
    </row>
    <row r="5" spans="2:10" ht="12.75">
      <c r="B5" s="184" t="s">
        <v>65</v>
      </c>
      <c r="C5" s="184"/>
      <c r="D5" s="184"/>
      <c r="E5" s="184"/>
      <c r="F5" s="184"/>
      <c r="G5" s="184"/>
      <c r="H5" s="184"/>
      <c r="I5" s="184"/>
      <c r="J5" s="184"/>
    </row>
    <row r="6" spans="2:10" ht="12.75">
      <c r="B6" s="184"/>
      <c r="C6" s="184"/>
      <c r="D6" s="184"/>
      <c r="E6" s="184"/>
      <c r="F6" s="184"/>
      <c r="G6" s="184"/>
      <c r="H6" s="184"/>
      <c r="I6" s="184"/>
      <c r="J6" s="184"/>
    </row>
    <row r="7" spans="2:10" ht="12.75">
      <c r="B7" s="185" t="s">
        <v>61</v>
      </c>
      <c r="C7" s="185"/>
      <c r="D7" s="185"/>
      <c r="E7" s="185"/>
      <c r="F7" s="185"/>
      <c r="G7" s="185"/>
      <c r="H7" s="185"/>
      <c r="I7" s="185"/>
      <c r="J7" s="185"/>
    </row>
    <row r="8" spans="2:10" ht="62.25" customHeight="1">
      <c r="B8" s="182" t="s">
        <v>63</v>
      </c>
      <c r="C8" s="182"/>
      <c r="D8" s="182"/>
      <c r="E8" s="182"/>
      <c r="F8" s="182"/>
      <c r="G8" s="182"/>
      <c r="H8" s="182"/>
      <c r="I8" s="182"/>
      <c r="J8" s="182"/>
    </row>
    <row r="9" spans="2:10" ht="61.5" customHeight="1">
      <c r="B9" s="182" t="s">
        <v>66</v>
      </c>
      <c r="C9" s="182"/>
      <c r="D9" s="182"/>
      <c r="E9" s="182"/>
      <c r="F9" s="182"/>
      <c r="G9" s="182"/>
      <c r="H9" s="182"/>
      <c r="I9" s="182"/>
      <c r="J9" s="182"/>
    </row>
    <row r="10" spans="2:10" ht="60" customHeight="1">
      <c r="B10" s="182" t="s">
        <v>67</v>
      </c>
      <c r="C10" s="182"/>
      <c r="D10" s="182"/>
      <c r="E10" s="182"/>
      <c r="F10" s="182"/>
      <c r="G10" s="182"/>
      <c r="H10" s="182"/>
      <c r="I10" s="182"/>
      <c r="J10" s="182"/>
    </row>
    <row r="11" spans="2:10" ht="73.5" customHeight="1">
      <c r="B11" s="183" t="s">
        <v>64</v>
      </c>
      <c r="C11" s="183"/>
      <c r="D11" s="183"/>
      <c r="E11" s="183"/>
      <c r="F11" s="183"/>
      <c r="G11" s="183"/>
      <c r="H11" s="183"/>
      <c r="I11" s="183"/>
      <c r="J11" s="183"/>
    </row>
  </sheetData>
  <sheetProtection/>
  <mergeCells count="9">
    <mergeCell ref="B2:H2"/>
    <mergeCell ref="B3:H3"/>
    <mergeCell ref="B10:J10"/>
    <mergeCell ref="B11:J11"/>
    <mergeCell ref="B5:J5"/>
    <mergeCell ref="B6:J6"/>
    <mergeCell ref="B7:J7"/>
    <mergeCell ref="B8:J8"/>
    <mergeCell ref="B9:J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Терминал1</dc:creator>
  <cp:keywords/>
  <dc:description/>
  <cp:lastModifiedBy>Казьмина Людмила Викторовна</cp:lastModifiedBy>
  <cp:lastPrinted>2023-12-08T08:21:52Z</cp:lastPrinted>
  <dcterms:created xsi:type="dcterms:W3CDTF">2010-04-08T10:21:57Z</dcterms:created>
  <dcterms:modified xsi:type="dcterms:W3CDTF">2023-12-08T10:10:28Z</dcterms:modified>
  <cp:category/>
  <cp:version/>
  <cp:contentType/>
  <cp:contentStatus/>
</cp:coreProperties>
</file>